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296A6A55-71EF-3FAC-97E6-161027D96622}"/>
  <workbookPr updateLinks="never" codeName="ThisWorkbook" defaultThemeVersion="124226"/>
  <mc:AlternateContent xmlns:mc="http://schemas.openxmlformats.org/markup-compatibility/2006">
    <mc:Choice Requires="x15">
      <x15ac:absPath xmlns:x15ac="http://schemas.microsoft.com/office/spreadsheetml/2010/11/ac" url="/Users/mila/Documents/博士论文/实验数据/boron isotopes-Jie/2022-11-29 Axel Jie micropellets and milling balls/"/>
    </mc:Choice>
  </mc:AlternateContent>
  <xr:revisionPtr revIDLastSave="0" documentId="13_ncr:1_{8FA16C3A-0ABD-DC4E-B395-192F1FB09ED4}" xr6:coauthVersionLast="47" xr6:coauthVersionMax="47" xr10:uidLastSave="{00000000-0000-0000-0000-000000000000}"/>
  <bookViews>
    <workbookView xWindow="28800" yWindow="0" windowWidth="33600" windowHeight="21000" xr2:uid="{00000000-000D-0000-FFFF-FFFF00000000}"/>
  </bookViews>
  <sheets>
    <sheet name="Tab1" sheetId="10" r:id="rId1"/>
    <sheet name="calc" sheetId="11" r:id="rId2"/>
    <sheet name="Tab2" sheetId="13" r:id="rId3"/>
    <sheet name="r-in" sheetId="14" r:id="rId4"/>
    <sheet name="input" sheetId="15" r:id="rId5"/>
    <sheet name="MetaData" sheetId="95" r:id="rId6"/>
    <sheet name="hidden" sheetId="16" r:id="rId7"/>
  </sheets>
  <functionGroups builtInGroupCount="19"/>
  <definedNames>
    <definedName name="_10.08B">calc!$C$3:$C$100</definedName>
    <definedName name="_10B">calc!$B$3:$B$100</definedName>
    <definedName name="_10Babund">calc!$P$25</definedName>
    <definedName name="_10Bback">calc!$G$3:$G$100</definedName>
    <definedName name="_10Bbul">calc!$D$3:$D$100</definedName>
    <definedName name="_10Bcorr">calc!$R$3:$R$100</definedName>
    <definedName name="_10Bmass">calc!$P$23</definedName>
    <definedName name="_11B">calc!$E$3:$E$100</definedName>
    <definedName name="_11B_10B_corr">'Tab1'!$U:$U</definedName>
    <definedName name="_11B_10B_corr2">'Tab1'!$Y:$Y</definedName>
    <definedName name="_11B_b">'Tab1'!$Q:$Q</definedName>
    <definedName name="_11Babund">calc!$P$78</definedName>
    <definedName name="_11Bback">calc!$H$3:$H$100</definedName>
    <definedName name="_11Bbul">calc!$F$3:$F$100</definedName>
    <definedName name="_11Bmass">calc!$P$24</definedName>
    <definedName name="_9.98B">calc!$A$3:$A$100</definedName>
    <definedName name="AnalysisName">calc!$O$18</definedName>
    <definedName name="AnalysisNumb">calc!$Q$19</definedName>
    <definedName name="CalcBratio">calc!$J$3:$J$100</definedName>
    <definedName name="CalcRaw">calc!$A$3:$I$100</definedName>
    <definedName name="CalcStats">calc!$J$101:$M$103</definedName>
    <definedName name="ClcProcArea">calc!$J$3:$M$100</definedName>
    <definedName name="ClcSeconds">calc!$N$3:$N$100</definedName>
    <definedName name="DeadTime">calc!$O$5</definedName>
    <definedName name="ExpanSig1">'Tab1'!$AH$30</definedName>
    <definedName name="ExpanSig2">'Tab1'!$AH$31</definedName>
    <definedName name="FirstLine">calc!$L$2</definedName>
    <definedName name="FirstRowInput">calc!$A$112</definedName>
    <definedName name="HiddAnch">hidden!$O$38</definedName>
    <definedName name="HidData">hidden!$L$9:$O$9</definedName>
    <definedName name="HidDataRaw">hidden!$L$3:$T$3</definedName>
    <definedName name="HidDelLineFrst">hidden!$C$9</definedName>
    <definedName name="HidDelLineLast">hidden!$C$10</definedName>
    <definedName name="HiddStd">hidden!$B$38</definedName>
    <definedName name="HidForceProces">hidden!$C$13</definedName>
    <definedName name="HidFracCte68">hidden!$D$4</definedName>
    <definedName name="HidFracCte82">hidden!$D$3</definedName>
    <definedName name="HidFracMode68">hidden!$C$4</definedName>
    <definedName name="HidFracMode82">hidden!$C$3</definedName>
    <definedName name="HidNames">hidden!$F$4:$F$13</definedName>
    <definedName name="HidNocPb">hidden!$M$6:$Q$6</definedName>
    <definedName name="HidOutlierCell">hidden!$C$12</definedName>
    <definedName name="HidOutlierNumb">hidden!$C$11</definedName>
    <definedName name="HidPrep">hidden!$H$4:$H$10</definedName>
    <definedName name="HidPrimCte">hidden!$D$3</definedName>
    <definedName name="HidProc">hidden!$G$4:$G$11</definedName>
    <definedName name="HidReProc">hidden!$I$4:$I$11</definedName>
    <definedName name="HidShowUser">hidden!$C$8</definedName>
    <definedName name="HidTb2StatT8">hidden!$D$28:$V$28</definedName>
    <definedName name="HidTb2StatTw">hidden!$D$35:$V$35</definedName>
    <definedName name="HidTb2StatWh">hidden!$D$21:$V$21</definedName>
    <definedName name="HidTb2StdsT8">hidden!$B$27:$V$27</definedName>
    <definedName name="HidTb2StdsTw">hidden!$B$34:$V$34</definedName>
    <definedName name="HidTb2StdsWh">hidden!$B$20:$V$20</definedName>
    <definedName name="HidTb2TitleT8">hidden!$B$23:$V$24</definedName>
    <definedName name="HidTb2TitleTw">hidden!$B$30:$V$31</definedName>
    <definedName name="HidTb2TitleWh">hidden!$B$16:$V$17</definedName>
    <definedName name="HidTb2UnknT8">hidden!$B$26:$V$26</definedName>
    <definedName name="HidTb2UnknTw">hidden!$B$33:$V$33</definedName>
    <definedName name="HidTb2UnknWh">hidden!$B$19:$V$19</definedName>
    <definedName name="HidViewResults">hidden!$C$14</definedName>
    <definedName name="HidVisuCell">hidden!$C$5</definedName>
    <definedName name="Integration">calc!$A$113</definedName>
    <definedName name="LimitBackB10">calc!$U$117</definedName>
    <definedName name="LimitBackB11">calc!$V$117</definedName>
    <definedName name="LimitSignB10">calc!$U$118</definedName>
    <definedName name="LimitSignB11">calc!$V$118</definedName>
    <definedName name="LimitSignB11b">calc!$V$119</definedName>
    <definedName name="LinePosition">calc!$I$3:$I$100</definedName>
    <definedName name="LogRat">calc!$Q$103</definedName>
    <definedName name="Mass_Left">calc!$P$90</definedName>
    <definedName name="Mass_Right">calc!#REF!</definedName>
    <definedName name="_xlnm.Print_Area" localSheetId="0">'Tab1'!#REF!</definedName>
    <definedName name="_xlnm.Print_Area" localSheetId="2">'Tab2'!$A$1:$U$343</definedName>
    <definedName name="RawEntrie">calc!$A$114:$A$552</definedName>
    <definedName name="RInResults">'r-in'!$4:$4</definedName>
    <definedName name="RInRM0">'r-in'!$A$6</definedName>
    <definedName name="RInRM1">'r-in'!$A$22</definedName>
    <definedName name="RInRM2">'r-in'!$A$38</definedName>
    <definedName name="RInRM3">'r-in'!$A$54</definedName>
    <definedName name="RInRM4">'r-in'!$A$70</definedName>
    <definedName name="RInRM5">'r-in'!$A$80</definedName>
    <definedName name="RInRM6">'r-in'!$A$82</definedName>
    <definedName name="Tb1Bck">'Tab1'!$AC$30</definedName>
    <definedName name="Tb1Comment">'Tab1'!$B:$B</definedName>
    <definedName name="Tb1CtStat">'Tab1'!$AC$31</definedName>
    <definedName name="Tb1ExSct">'Tab1'!$AC$33</definedName>
    <definedName name="Tb1ForceProc">'Tab1'!$AC:$AC</definedName>
    <definedName name="Tb1FracEqt">'Tab1'!$L$31:$R$33</definedName>
    <definedName name="Tb1Hz">'Tab1'!$AF:$AF</definedName>
    <definedName name="Tb1MassBias">'Tab1'!$U$23</definedName>
    <definedName name="Tb1Order">'Tab1'!$W:$W</definedName>
    <definedName name="Tb1PolyOrder">'Tab1'!$K$31:$K$34</definedName>
    <definedName name="Tb1Prim11B10B">'Tab1'!$U$21</definedName>
    <definedName name="Tb1PrimBppm">'Tab1'!$AH$18</definedName>
    <definedName name="Tb1PropDecayErr">'Tab1'!$AH$33</definedName>
    <definedName name="Tb1RM0">'Tab1'!$A$3</definedName>
    <definedName name="Tb1RM0stats">'Tab1'!$S$18:$AH$19</definedName>
    <definedName name="Tb1RM1">'Tab1'!$A$41</definedName>
    <definedName name="Tb1RM1stats">'Tab1'!$Y$56:$AH$57</definedName>
    <definedName name="Tb1RM2">'Tab1'!$A$62</definedName>
    <definedName name="Tb1RM2stats">'Tab1'!$Y$76:$AH$77</definedName>
    <definedName name="Tb1RM3">'Tab1'!$A$82</definedName>
    <definedName name="Tb1RM3stats">'Tab1'!$Y$96:$AH$97</definedName>
    <definedName name="Tb1RM4">'Tab1'!$A$102</definedName>
    <definedName name="Tb1RM4stats">'Tab1'!$Y$106:$AH$107</definedName>
    <definedName name="Tb1RM5">'Tab1'!$A$112</definedName>
    <definedName name="Tb1RM5stats">'Tab1'!$Y$116:$AH$117</definedName>
    <definedName name="Tb1RM6">'Tab1'!$A$128</definedName>
    <definedName name="Tb1SpotSize">'Tab1'!$AE:$AE</definedName>
    <definedName name="Tb2Averages">'Tab2'!$C$294:$U$294</definedName>
    <definedName name="Tb2RM0">'Tab2'!$A$314</definedName>
    <definedName name="Tb2RM0stats">'Tab2'!$C$336:$U$336</definedName>
    <definedName name="Tb2RM1">'Tab2'!$A$339</definedName>
    <definedName name="Tb2RM1stats">'Tab2'!#REF!</definedName>
    <definedName name="Tb2RM2">'Tab2'!$A$338</definedName>
    <definedName name="Tb2RM2stats">'Tab2'!#REF!</definedName>
    <definedName name="Tb2RM3">'Tab2'!$A$339</definedName>
    <definedName name="Tb2RM3stats">'Tab2'!#REF!</definedName>
    <definedName name="Tb2RM4">'Tab2'!$A$340</definedName>
    <definedName name="Tb2RM4stats">'Tab1'!#REF!</definedName>
    <definedName name="Tb2RM5">'Tab2'!$A$341</definedName>
    <definedName name="Tb2RM5stats">'Tab1'!#REF!</definedName>
    <definedName name="Tb2RM6">'Tab2'!$A$6</definedName>
    <definedName name="Tb2Title">'Tab2'!$A$3:$U$4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D42" i="10" l="1"/>
  <c r="AD82" i="10"/>
  <c r="O18" i="11" l="1"/>
  <c r="L31" i="10" a="1"/>
  <c r="M31" i="10" l="1"/>
  <c r="R31" i="10"/>
  <c r="L31" i="10"/>
  <c r="N31" i="10"/>
  <c r="O31" i="10"/>
  <c r="P31" i="10"/>
  <c r="Q31" i="10"/>
  <c r="A130" i="10"/>
  <c r="C130" i="10"/>
  <c r="D130" i="10"/>
  <c r="E130" i="10"/>
  <c r="F130" i="10"/>
  <c r="G130" i="10"/>
  <c r="H130" i="10"/>
  <c r="I130" i="10"/>
  <c r="J130" i="10"/>
  <c r="K130" i="10"/>
  <c r="L130" i="10"/>
  <c r="M130" i="10"/>
  <c r="N130" i="10"/>
  <c r="O130" i="10"/>
  <c r="P130" i="10"/>
  <c r="Q130" i="10"/>
  <c r="R130" i="10"/>
  <c r="S130" i="10"/>
  <c r="T130" i="10"/>
  <c r="Z130" i="10" s="1"/>
  <c r="U130" i="10"/>
  <c r="V130" i="10"/>
  <c r="A131" i="10"/>
  <c r="C131" i="10"/>
  <c r="D131" i="10"/>
  <c r="E131" i="10"/>
  <c r="F131" i="10"/>
  <c r="G131" i="10"/>
  <c r="H131" i="10"/>
  <c r="I131" i="10"/>
  <c r="J131" i="10"/>
  <c r="K131" i="10"/>
  <c r="L131" i="10"/>
  <c r="M131" i="10"/>
  <c r="N131" i="10"/>
  <c r="O131" i="10"/>
  <c r="P131" i="10"/>
  <c r="Q131" i="10"/>
  <c r="AI131" i="10" s="1"/>
  <c r="R131" i="10"/>
  <c r="S131" i="10"/>
  <c r="T131" i="10"/>
  <c r="Z131" i="10" s="1"/>
  <c r="U131" i="10"/>
  <c r="V131" i="10"/>
  <c r="A132" i="10"/>
  <c r="C132" i="10"/>
  <c r="D132" i="10"/>
  <c r="E132" i="10"/>
  <c r="F132" i="10"/>
  <c r="G132" i="10"/>
  <c r="H132" i="10"/>
  <c r="I132" i="10"/>
  <c r="J132" i="10"/>
  <c r="K132" i="10"/>
  <c r="L132" i="10"/>
  <c r="M132" i="10"/>
  <c r="N132" i="10"/>
  <c r="O132" i="10"/>
  <c r="P132" i="10"/>
  <c r="Q132" i="10"/>
  <c r="R132" i="10"/>
  <c r="S132" i="10"/>
  <c r="T132" i="10"/>
  <c r="Z132" i="10" s="1"/>
  <c r="U132" i="10"/>
  <c r="V132" i="10"/>
  <c r="A133" i="10"/>
  <c r="C133" i="10"/>
  <c r="D133" i="10"/>
  <c r="E133" i="10"/>
  <c r="F133" i="10"/>
  <c r="G133" i="10"/>
  <c r="H133" i="10"/>
  <c r="I133" i="10"/>
  <c r="J133" i="10"/>
  <c r="K133" i="10"/>
  <c r="L133" i="10"/>
  <c r="M133" i="10"/>
  <c r="N133" i="10"/>
  <c r="O133" i="10"/>
  <c r="P133" i="10"/>
  <c r="Q133" i="10"/>
  <c r="R133" i="10"/>
  <c r="S133" i="10"/>
  <c r="T133" i="10"/>
  <c r="Z133" i="10" s="1"/>
  <c r="U133" i="10"/>
  <c r="V133" i="10"/>
  <c r="A134" i="10"/>
  <c r="C134" i="10"/>
  <c r="D134" i="10"/>
  <c r="E134" i="10"/>
  <c r="F134" i="10"/>
  <c r="G134" i="10"/>
  <c r="H134" i="10"/>
  <c r="I134" i="10"/>
  <c r="J134" i="10"/>
  <c r="K134" i="10"/>
  <c r="L134" i="10"/>
  <c r="M134" i="10"/>
  <c r="N134" i="10"/>
  <c r="O134" i="10"/>
  <c r="P134" i="10"/>
  <c r="Q134" i="10"/>
  <c r="R134" i="10"/>
  <c r="S134" i="10"/>
  <c r="T134" i="10"/>
  <c r="Z134" i="10" s="1"/>
  <c r="U134" i="10"/>
  <c r="V134" i="10"/>
  <c r="AI134" i="10"/>
  <c r="A135" i="10"/>
  <c r="C135" i="10"/>
  <c r="D135" i="10"/>
  <c r="E135" i="10"/>
  <c r="F135" i="10"/>
  <c r="G135" i="10"/>
  <c r="H135" i="10"/>
  <c r="I135" i="10"/>
  <c r="J135" i="10"/>
  <c r="K135" i="10"/>
  <c r="L135" i="10"/>
  <c r="M135" i="10"/>
  <c r="N135" i="10"/>
  <c r="O135" i="10"/>
  <c r="P135" i="10"/>
  <c r="Q135" i="10"/>
  <c r="AI135" i="10" s="1"/>
  <c r="R135" i="10"/>
  <c r="S135" i="10"/>
  <c r="T135" i="10"/>
  <c r="Z135" i="10" s="1"/>
  <c r="U135" i="10"/>
  <c r="V135" i="10"/>
  <c r="A136" i="10"/>
  <c r="C136" i="10"/>
  <c r="D136" i="10"/>
  <c r="E136" i="10"/>
  <c r="F136" i="10"/>
  <c r="G136" i="10"/>
  <c r="H136" i="10"/>
  <c r="I136" i="10"/>
  <c r="J136" i="10"/>
  <c r="K136" i="10"/>
  <c r="L136" i="10"/>
  <c r="M136" i="10"/>
  <c r="N136" i="10"/>
  <c r="O136" i="10"/>
  <c r="P136" i="10"/>
  <c r="Q136" i="10"/>
  <c r="AI136" i="10" s="1"/>
  <c r="R136" i="10"/>
  <c r="S136" i="10"/>
  <c r="T136" i="10"/>
  <c r="Z136" i="10" s="1"/>
  <c r="U136" i="10"/>
  <c r="V136" i="10"/>
  <c r="A137" i="10"/>
  <c r="C137" i="10"/>
  <c r="D137" i="10"/>
  <c r="E137" i="10"/>
  <c r="F137" i="10"/>
  <c r="G137" i="10"/>
  <c r="H137" i="10"/>
  <c r="I137" i="10"/>
  <c r="J137" i="10"/>
  <c r="K137" i="10"/>
  <c r="L137" i="10"/>
  <c r="M137" i="10"/>
  <c r="N137" i="10"/>
  <c r="O137" i="10"/>
  <c r="P137" i="10"/>
  <c r="Q137" i="10"/>
  <c r="R137" i="10"/>
  <c r="S137" i="10"/>
  <c r="T137" i="10"/>
  <c r="Z137" i="10" s="1"/>
  <c r="U137" i="10"/>
  <c r="V137" i="10"/>
  <c r="A138" i="10"/>
  <c r="C138" i="10"/>
  <c r="D138" i="10"/>
  <c r="E138" i="10"/>
  <c r="F138" i="10"/>
  <c r="G138" i="10"/>
  <c r="H138" i="10"/>
  <c r="I138" i="10"/>
  <c r="J138" i="10"/>
  <c r="K138" i="10"/>
  <c r="L138" i="10"/>
  <c r="M138" i="10"/>
  <c r="N138" i="10"/>
  <c r="O138" i="10"/>
  <c r="P138" i="10"/>
  <c r="Q138" i="10"/>
  <c r="R138" i="10"/>
  <c r="S138" i="10"/>
  <c r="T138" i="10"/>
  <c r="Z138" i="10" s="1"/>
  <c r="U138" i="10"/>
  <c r="V138" i="10"/>
  <c r="AI138" i="10"/>
  <c r="A139" i="10"/>
  <c r="C139" i="10"/>
  <c r="D139" i="10"/>
  <c r="E139" i="10"/>
  <c r="F139" i="10"/>
  <c r="G139" i="10"/>
  <c r="H139" i="10"/>
  <c r="I139" i="10"/>
  <c r="J139" i="10"/>
  <c r="K139" i="10"/>
  <c r="L139" i="10"/>
  <c r="M139" i="10"/>
  <c r="N139" i="10"/>
  <c r="O139" i="10"/>
  <c r="P139" i="10"/>
  <c r="Q139" i="10"/>
  <c r="AI139" i="10" s="1"/>
  <c r="R139" i="10"/>
  <c r="S139" i="10"/>
  <c r="T139" i="10"/>
  <c r="Z139" i="10" s="1"/>
  <c r="U139" i="10"/>
  <c r="V139" i="10"/>
  <c r="A140" i="10"/>
  <c r="C140" i="10"/>
  <c r="D140" i="10"/>
  <c r="E140" i="10"/>
  <c r="F140" i="10"/>
  <c r="G140" i="10"/>
  <c r="H140" i="10"/>
  <c r="I140" i="10"/>
  <c r="J140" i="10"/>
  <c r="K140" i="10"/>
  <c r="L140" i="10"/>
  <c r="M140" i="10"/>
  <c r="N140" i="10"/>
  <c r="O140" i="10"/>
  <c r="P140" i="10"/>
  <c r="Q140" i="10"/>
  <c r="R140" i="10"/>
  <c r="S140" i="10"/>
  <c r="T140" i="10"/>
  <c r="Z140" i="10" s="1"/>
  <c r="U140" i="10"/>
  <c r="V140" i="10"/>
  <c r="AI140" i="10"/>
  <c r="A141" i="10"/>
  <c r="C141" i="10"/>
  <c r="D141" i="10"/>
  <c r="E141" i="10"/>
  <c r="F141" i="10"/>
  <c r="G141" i="10"/>
  <c r="H141" i="10"/>
  <c r="I141" i="10"/>
  <c r="J141" i="10"/>
  <c r="K141" i="10"/>
  <c r="L141" i="10"/>
  <c r="M141" i="10"/>
  <c r="N141" i="10"/>
  <c r="O141" i="10"/>
  <c r="P141" i="10"/>
  <c r="Q141" i="10"/>
  <c r="AI141" i="10" s="1"/>
  <c r="R141" i="10"/>
  <c r="S141" i="10"/>
  <c r="T141" i="10"/>
  <c r="Z141" i="10" s="1"/>
  <c r="U141" i="10"/>
  <c r="V141" i="10"/>
  <c r="A142" i="10"/>
  <c r="C142" i="10"/>
  <c r="D142" i="10"/>
  <c r="E142" i="10"/>
  <c r="F142" i="10"/>
  <c r="G142" i="10"/>
  <c r="H142" i="10"/>
  <c r="I142" i="10"/>
  <c r="J142" i="10"/>
  <c r="K142" i="10"/>
  <c r="L142" i="10"/>
  <c r="M142" i="10"/>
  <c r="N142" i="10"/>
  <c r="O142" i="10"/>
  <c r="P142" i="10"/>
  <c r="Q142" i="10"/>
  <c r="R142" i="10"/>
  <c r="S142" i="10"/>
  <c r="T142" i="10"/>
  <c r="Z142" i="10" s="1"/>
  <c r="U142" i="10"/>
  <c r="V142" i="10"/>
  <c r="A143" i="10"/>
  <c r="C143" i="10"/>
  <c r="D143" i="10"/>
  <c r="E143" i="10"/>
  <c r="F143" i="10"/>
  <c r="G143" i="10"/>
  <c r="H143" i="10"/>
  <c r="I143" i="10"/>
  <c r="J143" i="10"/>
  <c r="K143" i="10"/>
  <c r="L143" i="10"/>
  <c r="M143" i="10"/>
  <c r="N143" i="10"/>
  <c r="O143" i="10"/>
  <c r="P143" i="10"/>
  <c r="Q143" i="10"/>
  <c r="R143" i="10"/>
  <c r="S143" i="10"/>
  <c r="T143" i="10"/>
  <c r="Z143" i="10" s="1"/>
  <c r="U143" i="10"/>
  <c r="V143" i="10"/>
  <c r="A144" i="10"/>
  <c r="C144" i="10"/>
  <c r="D144" i="10"/>
  <c r="E144" i="10"/>
  <c r="F144" i="10"/>
  <c r="G144" i="10"/>
  <c r="H144" i="10"/>
  <c r="I144" i="10"/>
  <c r="J144" i="10"/>
  <c r="K144" i="10"/>
  <c r="L144" i="10"/>
  <c r="M144" i="10"/>
  <c r="N144" i="10"/>
  <c r="O144" i="10"/>
  <c r="P144" i="10"/>
  <c r="Q144" i="10"/>
  <c r="R144" i="10"/>
  <c r="S144" i="10"/>
  <c r="T144" i="10"/>
  <c r="Z144" i="10" s="1"/>
  <c r="U144" i="10"/>
  <c r="V144" i="10"/>
  <c r="A145" i="10"/>
  <c r="C145" i="10"/>
  <c r="D145" i="10"/>
  <c r="E145" i="10"/>
  <c r="F145" i="10"/>
  <c r="G145" i="10"/>
  <c r="H145" i="10"/>
  <c r="I145" i="10"/>
  <c r="J145" i="10"/>
  <c r="K145" i="10"/>
  <c r="L145" i="10"/>
  <c r="M145" i="10"/>
  <c r="N145" i="10"/>
  <c r="O145" i="10"/>
  <c r="P145" i="10"/>
  <c r="Q145" i="10"/>
  <c r="R145" i="10"/>
  <c r="S145" i="10"/>
  <c r="T145" i="10"/>
  <c r="Z145" i="10" s="1"/>
  <c r="U145" i="10"/>
  <c r="V145" i="10"/>
  <c r="A146" i="10"/>
  <c r="C146" i="10"/>
  <c r="D146" i="10"/>
  <c r="E146" i="10"/>
  <c r="F146" i="10"/>
  <c r="G146" i="10"/>
  <c r="H146" i="10"/>
  <c r="I146" i="10"/>
  <c r="J146" i="10"/>
  <c r="K146" i="10"/>
  <c r="L146" i="10"/>
  <c r="M146" i="10"/>
  <c r="N146" i="10"/>
  <c r="O146" i="10"/>
  <c r="P146" i="10"/>
  <c r="Q146" i="10"/>
  <c r="R146" i="10"/>
  <c r="S146" i="10"/>
  <c r="T146" i="10"/>
  <c r="Z146" i="10" s="1"/>
  <c r="U146" i="10"/>
  <c r="V146" i="10"/>
  <c r="A147" i="10"/>
  <c r="C147" i="10"/>
  <c r="D147" i="10"/>
  <c r="E147" i="10"/>
  <c r="F147" i="10"/>
  <c r="G147" i="10"/>
  <c r="H147" i="10"/>
  <c r="I147" i="10"/>
  <c r="J147" i="10"/>
  <c r="K147" i="10"/>
  <c r="L147" i="10"/>
  <c r="M147" i="10"/>
  <c r="N147" i="10"/>
  <c r="O147" i="10"/>
  <c r="P147" i="10"/>
  <c r="Q147" i="10"/>
  <c r="R147" i="10"/>
  <c r="S147" i="10"/>
  <c r="T147" i="10"/>
  <c r="Z147" i="10" s="1"/>
  <c r="U147" i="10"/>
  <c r="V147" i="10"/>
  <c r="A148" i="10"/>
  <c r="C148" i="10"/>
  <c r="D148" i="10"/>
  <c r="E148" i="10"/>
  <c r="F148" i="10"/>
  <c r="G148" i="10"/>
  <c r="H148" i="10"/>
  <c r="I148" i="10"/>
  <c r="J148" i="10"/>
  <c r="K148" i="10"/>
  <c r="L148" i="10"/>
  <c r="M148" i="10"/>
  <c r="N148" i="10"/>
  <c r="O148" i="10"/>
  <c r="P148" i="10"/>
  <c r="Q148" i="10"/>
  <c r="AI148" i="10" s="1"/>
  <c r="R148" i="10"/>
  <c r="S148" i="10"/>
  <c r="T148" i="10"/>
  <c r="Z148" i="10" s="1"/>
  <c r="U148" i="10"/>
  <c r="V148" i="10"/>
  <c r="A149" i="10"/>
  <c r="C149" i="10"/>
  <c r="D149" i="10"/>
  <c r="E149" i="10"/>
  <c r="F149" i="10"/>
  <c r="G149" i="10"/>
  <c r="H149" i="10"/>
  <c r="I149" i="10"/>
  <c r="J149" i="10"/>
  <c r="K149" i="10"/>
  <c r="L149" i="10"/>
  <c r="M149" i="10"/>
  <c r="N149" i="10"/>
  <c r="O149" i="10"/>
  <c r="P149" i="10"/>
  <c r="Q149" i="10"/>
  <c r="AI149" i="10" s="1"/>
  <c r="R149" i="10"/>
  <c r="S149" i="10"/>
  <c r="T149" i="10"/>
  <c r="Z149" i="10" s="1"/>
  <c r="U149" i="10"/>
  <c r="V149" i="10"/>
  <c r="A150" i="10"/>
  <c r="C150" i="10"/>
  <c r="D150" i="10"/>
  <c r="E150" i="10"/>
  <c r="F150" i="10"/>
  <c r="G150" i="10"/>
  <c r="H150" i="10"/>
  <c r="I150" i="10"/>
  <c r="J150" i="10"/>
  <c r="K150" i="10"/>
  <c r="L150" i="10"/>
  <c r="M150" i="10"/>
  <c r="N150" i="10"/>
  <c r="O150" i="10"/>
  <c r="P150" i="10"/>
  <c r="Q150" i="10"/>
  <c r="AI150" i="10" s="1"/>
  <c r="R150" i="10"/>
  <c r="S150" i="10"/>
  <c r="T150" i="10"/>
  <c r="Z150" i="10" s="1"/>
  <c r="U150" i="10"/>
  <c r="V150" i="10"/>
  <c r="A151" i="10"/>
  <c r="C151" i="10"/>
  <c r="D151" i="10"/>
  <c r="E151" i="10"/>
  <c r="F151" i="10"/>
  <c r="G151" i="10"/>
  <c r="H151" i="10"/>
  <c r="I151" i="10"/>
  <c r="J151" i="10"/>
  <c r="K151" i="10"/>
  <c r="L151" i="10"/>
  <c r="M151" i="10"/>
  <c r="N151" i="10"/>
  <c r="O151" i="10"/>
  <c r="P151" i="10"/>
  <c r="Q151" i="10"/>
  <c r="AI151" i="10" s="1"/>
  <c r="R151" i="10"/>
  <c r="S151" i="10"/>
  <c r="T151" i="10"/>
  <c r="Z151" i="10" s="1"/>
  <c r="U151" i="10"/>
  <c r="V151" i="10"/>
  <c r="A152" i="10"/>
  <c r="C152" i="10"/>
  <c r="D152" i="10"/>
  <c r="E152" i="10"/>
  <c r="F152" i="10"/>
  <c r="G152" i="10"/>
  <c r="H152" i="10"/>
  <c r="I152" i="10"/>
  <c r="J152" i="10"/>
  <c r="K152" i="10"/>
  <c r="L152" i="10"/>
  <c r="M152" i="10"/>
  <c r="N152" i="10"/>
  <c r="O152" i="10"/>
  <c r="P152" i="10"/>
  <c r="Q152" i="10"/>
  <c r="R152" i="10"/>
  <c r="S152" i="10"/>
  <c r="T152" i="10"/>
  <c r="Z152" i="10" s="1"/>
  <c r="U152" i="10"/>
  <c r="V152" i="10"/>
  <c r="A153" i="10"/>
  <c r="C153" i="10"/>
  <c r="D153" i="10"/>
  <c r="E153" i="10"/>
  <c r="F153" i="10"/>
  <c r="G153" i="10"/>
  <c r="H153" i="10"/>
  <c r="I153" i="10"/>
  <c r="J153" i="10"/>
  <c r="K153" i="10"/>
  <c r="L153" i="10"/>
  <c r="M153" i="10"/>
  <c r="N153" i="10"/>
  <c r="O153" i="10"/>
  <c r="P153" i="10"/>
  <c r="Q153" i="10"/>
  <c r="AI153" i="10" s="1"/>
  <c r="R153" i="10"/>
  <c r="S153" i="10"/>
  <c r="T153" i="10"/>
  <c r="Z153" i="10" s="1"/>
  <c r="U153" i="10"/>
  <c r="V153" i="10"/>
  <c r="A154" i="10"/>
  <c r="C154" i="10"/>
  <c r="D154" i="10"/>
  <c r="E154" i="10"/>
  <c r="F154" i="10"/>
  <c r="G154" i="10"/>
  <c r="H154" i="10"/>
  <c r="I154" i="10"/>
  <c r="J154" i="10"/>
  <c r="K154" i="10"/>
  <c r="L154" i="10"/>
  <c r="M154" i="10"/>
  <c r="N154" i="10"/>
  <c r="O154" i="10"/>
  <c r="P154" i="10"/>
  <c r="Q154" i="10"/>
  <c r="R154" i="10"/>
  <c r="S154" i="10"/>
  <c r="T154" i="10"/>
  <c r="Z154" i="10" s="1"/>
  <c r="U154" i="10"/>
  <c r="V154" i="10"/>
  <c r="A155" i="10"/>
  <c r="C155" i="10"/>
  <c r="D155" i="10"/>
  <c r="E155" i="10"/>
  <c r="F155" i="10"/>
  <c r="G155" i="10"/>
  <c r="H155" i="10"/>
  <c r="I155" i="10"/>
  <c r="J155" i="10"/>
  <c r="K155" i="10"/>
  <c r="L155" i="10"/>
  <c r="M155" i="10"/>
  <c r="N155" i="10"/>
  <c r="O155" i="10"/>
  <c r="P155" i="10"/>
  <c r="Q155" i="10"/>
  <c r="R155" i="10"/>
  <c r="S155" i="10"/>
  <c r="T155" i="10"/>
  <c r="Z155" i="10" s="1"/>
  <c r="U155" i="10"/>
  <c r="V155" i="10"/>
  <c r="A156" i="10"/>
  <c r="C156" i="10"/>
  <c r="D156" i="10"/>
  <c r="E156" i="10"/>
  <c r="F156" i="10"/>
  <c r="G156" i="10"/>
  <c r="H156" i="10"/>
  <c r="I156" i="10"/>
  <c r="J156" i="10"/>
  <c r="K156" i="10"/>
  <c r="L156" i="10"/>
  <c r="M156" i="10"/>
  <c r="N156" i="10"/>
  <c r="O156" i="10"/>
  <c r="P156" i="10"/>
  <c r="Q156" i="10"/>
  <c r="AI156" i="10" s="1"/>
  <c r="R156" i="10"/>
  <c r="S156" i="10"/>
  <c r="T156" i="10"/>
  <c r="Z156" i="10" s="1"/>
  <c r="U156" i="10"/>
  <c r="V156" i="10"/>
  <c r="A157" i="10"/>
  <c r="C157" i="10"/>
  <c r="D157" i="10"/>
  <c r="E157" i="10"/>
  <c r="F157" i="10"/>
  <c r="G157" i="10"/>
  <c r="H157" i="10"/>
  <c r="I157" i="10"/>
  <c r="J157" i="10"/>
  <c r="K157" i="10"/>
  <c r="L157" i="10"/>
  <c r="M157" i="10"/>
  <c r="N157" i="10"/>
  <c r="O157" i="10"/>
  <c r="P157" i="10"/>
  <c r="Q157" i="10"/>
  <c r="R157" i="10"/>
  <c r="S157" i="10"/>
  <c r="T157" i="10"/>
  <c r="Z157" i="10" s="1"/>
  <c r="U157" i="10"/>
  <c r="V157" i="10"/>
  <c r="A158" i="10"/>
  <c r="C158" i="10"/>
  <c r="D158" i="10"/>
  <c r="E158" i="10"/>
  <c r="F158" i="10"/>
  <c r="G158" i="10"/>
  <c r="H158" i="10"/>
  <c r="I158" i="10"/>
  <c r="J158" i="10"/>
  <c r="K158" i="10"/>
  <c r="L158" i="10"/>
  <c r="M158" i="10"/>
  <c r="N158" i="10"/>
  <c r="O158" i="10"/>
  <c r="P158" i="10"/>
  <c r="Q158" i="10"/>
  <c r="R158" i="10"/>
  <c r="S158" i="10"/>
  <c r="T158" i="10"/>
  <c r="Z158" i="10" s="1"/>
  <c r="U158" i="10"/>
  <c r="V158" i="10"/>
  <c r="AI158" i="10"/>
  <c r="A159" i="10"/>
  <c r="C159" i="10"/>
  <c r="D159" i="10"/>
  <c r="E159" i="10"/>
  <c r="F159" i="10"/>
  <c r="G159" i="10"/>
  <c r="H159" i="10"/>
  <c r="I159" i="10"/>
  <c r="J159" i="10"/>
  <c r="K159" i="10"/>
  <c r="L159" i="10"/>
  <c r="M159" i="10"/>
  <c r="N159" i="10"/>
  <c r="O159" i="10"/>
  <c r="P159" i="10"/>
  <c r="Q159" i="10"/>
  <c r="AI159" i="10" s="1"/>
  <c r="R159" i="10"/>
  <c r="S159" i="10"/>
  <c r="T159" i="10"/>
  <c r="Z159" i="10" s="1"/>
  <c r="U159" i="10"/>
  <c r="V159" i="10"/>
  <c r="A160" i="10"/>
  <c r="C160" i="10"/>
  <c r="D160" i="10"/>
  <c r="E160" i="10"/>
  <c r="F160" i="10"/>
  <c r="G160" i="10"/>
  <c r="H160" i="10"/>
  <c r="I160" i="10"/>
  <c r="J160" i="10"/>
  <c r="K160" i="10"/>
  <c r="L160" i="10"/>
  <c r="M160" i="10"/>
  <c r="N160" i="10"/>
  <c r="O160" i="10"/>
  <c r="P160" i="10"/>
  <c r="Q160" i="10"/>
  <c r="R160" i="10"/>
  <c r="S160" i="10"/>
  <c r="T160" i="10"/>
  <c r="Z160" i="10" s="1"/>
  <c r="U160" i="10"/>
  <c r="V160" i="10"/>
  <c r="A161" i="10"/>
  <c r="C161" i="10"/>
  <c r="D161" i="10"/>
  <c r="E161" i="10"/>
  <c r="F161" i="10"/>
  <c r="G161" i="10"/>
  <c r="H161" i="10"/>
  <c r="I161" i="10"/>
  <c r="J161" i="10"/>
  <c r="K161" i="10"/>
  <c r="L161" i="10"/>
  <c r="M161" i="10"/>
  <c r="N161" i="10"/>
  <c r="O161" i="10"/>
  <c r="P161" i="10"/>
  <c r="Q161" i="10"/>
  <c r="R161" i="10"/>
  <c r="S161" i="10"/>
  <c r="T161" i="10"/>
  <c r="Z161" i="10" s="1"/>
  <c r="U161" i="10"/>
  <c r="V161" i="10"/>
  <c r="A162" i="10"/>
  <c r="C162" i="10"/>
  <c r="D162" i="10"/>
  <c r="E162" i="10"/>
  <c r="F162" i="10"/>
  <c r="G162" i="10"/>
  <c r="H162" i="10"/>
  <c r="I162" i="10"/>
  <c r="J162" i="10"/>
  <c r="K162" i="10"/>
  <c r="L162" i="10"/>
  <c r="M162" i="10"/>
  <c r="N162" i="10"/>
  <c r="O162" i="10"/>
  <c r="P162" i="10"/>
  <c r="Q162" i="10"/>
  <c r="AI162" i="10" s="1"/>
  <c r="R162" i="10"/>
  <c r="S162" i="10"/>
  <c r="T162" i="10"/>
  <c r="Z162" i="10" s="1"/>
  <c r="U162" i="10"/>
  <c r="V162" i="10"/>
  <c r="A163" i="10"/>
  <c r="C163" i="10"/>
  <c r="D163" i="10"/>
  <c r="E163" i="10"/>
  <c r="F163" i="10"/>
  <c r="G163" i="10"/>
  <c r="H163" i="10"/>
  <c r="I163" i="10"/>
  <c r="J163" i="10"/>
  <c r="K163" i="10"/>
  <c r="L163" i="10"/>
  <c r="M163" i="10"/>
  <c r="N163" i="10"/>
  <c r="O163" i="10"/>
  <c r="P163" i="10"/>
  <c r="Q163" i="10"/>
  <c r="R163" i="10"/>
  <c r="S163" i="10"/>
  <c r="T163" i="10"/>
  <c r="Z163" i="10" s="1"/>
  <c r="U163" i="10"/>
  <c r="V163" i="10"/>
  <c r="A164" i="10"/>
  <c r="C164" i="10"/>
  <c r="D164" i="10"/>
  <c r="E164" i="10"/>
  <c r="F164" i="10"/>
  <c r="G164" i="10"/>
  <c r="H164" i="10"/>
  <c r="I164" i="10"/>
  <c r="J164" i="10"/>
  <c r="K164" i="10"/>
  <c r="L164" i="10"/>
  <c r="M164" i="10"/>
  <c r="N164" i="10"/>
  <c r="O164" i="10"/>
  <c r="P164" i="10"/>
  <c r="Q164" i="10"/>
  <c r="AI164" i="10" s="1"/>
  <c r="R164" i="10"/>
  <c r="S164" i="10"/>
  <c r="T164" i="10"/>
  <c r="Z164" i="10" s="1"/>
  <c r="U164" i="10"/>
  <c r="V164" i="10"/>
  <c r="A165" i="10"/>
  <c r="C165" i="10"/>
  <c r="D165" i="10"/>
  <c r="E165" i="10"/>
  <c r="F165" i="10"/>
  <c r="G165" i="10"/>
  <c r="H165" i="10"/>
  <c r="I165" i="10"/>
  <c r="J165" i="10"/>
  <c r="K165" i="10"/>
  <c r="L165" i="10"/>
  <c r="M165" i="10"/>
  <c r="N165" i="10"/>
  <c r="O165" i="10"/>
  <c r="P165" i="10"/>
  <c r="Q165" i="10"/>
  <c r="AI165" i="10" s="1"/>
  <c r="R165" i="10"/>
  <c r="S165" i="10"/>
  <c r="T165" i="10"/>
  <c r="Z165" i="10" s="1"/>
  <c r="U165" i="10"/>
  <c r="V165" i="10"/>
  <c r="A166" i="10"/>
  <c r="C166" i="10"/>
  <c r="D166" i="10"/>
  <c r="E166" i="10"/>
  <c r="F166" i="10"/>
  <c r="G166" i="10"/>
  <c r="H166" i="10"/>
  <c r="I166" i="10"/>
  <c r="J166" i="10"/>
  <c r="K166" i="10"/>
  <c r="L166" i="10"/>
  <c r="M166" i="10"/>
  <c r="N166" i="10"/>
  <c r="O166" i="10"/>
  <c r="P166" i="10"/>
  <c r="Q166" i="10"/>
  <c r="R166" i="10"/>
  <c r="S166" i="10"/>
  <c r="T166" i="10"/>
  <c r="Z166" i="10" s="1"/>
  <c r="U166" i="10"/>
  <c r="V166" i="10"/>
  <c r="A167" i="10"/>
  <c r="C167" i="10"/>
  <c r="D167" i="10"/>
  <c r="E167" i="10"/>
  <c r="F167" i="10"/>
  <c r="G167" i="10"/>
  <c r="H167" i="10"/>
  <c r="I167" i="10"/>
  <c r="J167" i="10"/>
  <c r="K167" i="10"/>
  <c r="L167" i="10"/>
  <c r="M167" i="10"/>
  <c r="N167" i="10"/>
  <c r="O167" i="10"/>
  <c r="P167" i="10"/>
  <c r="Q167" i="10"/>
  <c r="AI167" i="10" s="1"/>
  <c r="R167" i="10"/>
  <c r="S167" i="10"/>
  <c r="T167" i="10"/>
  <c r="Z167" i="10" s="1"/>
  <c r="U167" i="10"/>
  <c r="V167" i="10"/>
  <c r="A168" i="10"/>
  <c r="C168" i="10"/>
  <c r="D168" i="10"/>
  <c r="E168" i="10"/>
  <c r="F168" i="10"/>
  <c r="G168" i="10"/>
  <c r="H168" i="10"/>
  <c r="I168" i="10"/>
  <c r="J168" i="10"/>
  <c r="K168" i="10"/>
  <c r="L168" i="10"/>
  <c r="M168" i="10"/>
  <c r="N168" i="10"/>
  <c r="O168" i="10"/>
  <c r="P168" i="10"/>
  <c r="Q168" i="10"/>
  <c r="AI168" i="10" s="1"/>
  <c r="R168" i="10"/>
  <c r="S168" i="10"/>
  <c r="T168" i="10"/>
  <c r="Z168" i="10" s="1"/>
  <c r="U168" i="10"/>
  <c r="V168" i="10"/>
  <c r="A169" i="10"/>
  <c r="C169" i="10"/>
  <c r="D169" i="10"/>
  <c r="E169" i="10"/>
  <c r="F169" i="10"/>
  <c r="G169" i="10"/>
  <c r="H169" i="10"/>
  <c r="I169" i="10"/>
  <c r="J169" i="10"/>
  <c r="K169" i="10"/>
  <c r="L169" i="10"/>
  <c r="M169" i="10"/>
  <c r="N169" i="10"/>
  <c r="O169" i="10"/>
  <c r="P169" i="10"/>
  <c r="Q169" i="10"/>
  <c r="R169" i="10"/>
  <c r="S169" i="10"/>
  <c r="T169" i="10"/>
  <c r="Z169" i="10" s="1"/>
  <c r="U169" i="10"/>
  <c r="V169" i="10"/>
  <c r="A170" i="10"/>
  <c r="C170" i="10"/>
  <c r="D170" i="10"/>
  <c r="E170" i="10"/>
  <c r="F170" i="10"/>
  <c r="G170" i="10"/>
  <c r="H170" i="10"/>
  <c r="I170" i="10"/>
  <c r="J170" i="10"/>
  <c r="K170" i="10"/>
  <c r="L170" i="10"/>
  <c r="M170" i="10"/>
  <c r="N170" i="10"/>
  <c r="O170" i="10"/>
  <c r="P170" i="10"/>
  <c r="Q170" i="10"/>
  <c r="AI170" i="10" s="1"/>
  <c r="R170" i="10"/>
  <c r="S170" i="10"/>
  <c r="T170" i="10"/>
  <c r="Z170" i="10" s="1"/>
  <c r="U170" i="10"/>
  <c r="V170" i="10"/>
  <c r="A171" i="10"/>
  <c r="C171" i="10"/>
  <c r="D171" i="10"/>
  <c r="E171" i="10"/>
  <c r="F171" i="10"/>
  <c r="G171" i="10"/>
  <c r="H171" i="10"/>
  <c r="I171" i="10"/>
  <c r="J171" i="10"/>
  <c r="K171" i="10"/>
  <c r="L171" i="10"/>
  <c r="M171" i="10"/>
  <c r="N171" i="10"/>
  <c r="O171" i="10"/>
  <c r="P171" i="10"/>
  <c r="Q171" i="10"/>
  <c r="R171" i="10"/>
  <c r="S171" i="10"/>
  <c r="T171" i="10"/>
  <c r="Z171" i="10" s="1"/>
  <c r="U171" i="10"/>
  <c r="V171" i="10"/>
  <c r="A172" i="10"/>
  <c r="C172" i="10"/>
  <c r="D172" i="10"/>
  <c r="E172" i="10"/>
  <c r="F172" i="10"/>
  <c r="G172" i="10"/>
  <c r="H172" i="10"/>
  <c r="I172" i="10"/>
  <c r="J172" i="10"/>
  <c r="K172" i="10"/>
  <c r="L172" i="10"/>
  <c r="M172" i="10"/>
  <c r="AI172" i="10" s="1"/>
  <c r="N172" i="10"/>
  <c r="O172" i="10"/>
  <c r="P172" i="10"/>
  <c r="Q172" i="10"/>
  <c r="R172" i="10"/>
  <c r="S172" i="10"/>
  <c r="T172" i="10"/>
  <c r="Z172" i="10" s="1"/>
  <c r="U172" i="10"/>
  <c r="V172" i="10"/>
  <c r="A173" i="10"/>
  <c r="C173" i="10"/>
  <c r="D173" i="10"/>
  <c r="E173" i="10"/>
  <c r="F173" i="10"/>
  <c r="G173" i="10"/>
  <c r="H173" i="10"/>
  <c r="I173" i="10"/>
  <c r="J173" i="10"/>
  <c r="K173" i="10"/>
  <c r="L173" i="10"/>
  <c r="M173" i="10"/>
  <c r="N173" i="10"/>
  <c r="O173" i="10"/>
  <c r="P173" i="10"/>
  <c r="Q173" i="10"/>
  <c r="AI173" i="10" s="1"/>
  <c r="R173" i="10"/>
  <c r="S173" i="10"/>
  <c r="T173" i="10"/>
  <c r="Z173" i="10" s="1"/>
  <c r="U173" i="10"/>
  <c r="V173" i="10"/>
  <c r="A174" i="10"/>
  <c r="C174" i="10"/>
  <c r="D174" i="10"/>
  <c r="E174" i="10"/>
  <c r="F174" i="10"/>
  <c r="G174" i="10"/>
  <c r="H174" i="10"/>
  <c r="I174" i="10"/>
  <c r="J174" i="10"/>
  <c r="K174" i="10"/>
  <c r="L174" i="10"/>
  <c r="M174" i="10"/>
  <c r="N174" i="10"/>
  <c r="O174" i="10"/>
  <c r="P174" i="10"/>
  <c r="Q174" i="10"/>
  <c r="R174" i="10"/>
  <c r="S174" i="10"/>
  <c r="T174" i="10"/>
  <c r="Z174" i="10" s="1"/>
  <c r="U174" i="10"/>
  <c r="V174" i="10"/>
  <c r="A175" i="10"/>
  <c r="C175" i="10"/>
  <c r="D175" i="10"/>
  <c r="E175" i="10"/>
  <c r="F175" i="10"/>
  <c r="G175" i="10"/>
  <c r="H175" i="10"/>
  <c r="I175" i="10"/>
  <c r="J175" i="10"/>
  <c r="K175" i="10"/>
  <c r="L175" i="10"/>
  <c r="M175" i="10"/>
  <c r="N175" i="10"/>
  <c r="O175" i="10"/>
  <c r="P175" i="10"/>
  <c r="Q175" i="10"/>
  <c r="AI175" i="10" s="1"/>
  <c r="R175" i="10"/>
  <c r="S175" i="10"/>
  <c r="T175" i="10"/>
  <c r="U175" i="10"/>
  <c r="V175" i="10"/>
  <c r="Z175" i="10"/>
  <c r="A176" i="10"/>
  <c r="C176" i="10"/>
  <c r="D176" i="10"/>
  <c r="E176" i="10"/>
  <c r="F176" i="10"/>
  <c r="G176" i="10"/>
  <c r="H176" i="10"/>
  <c r="I176" i="10"/>
  <c r="J176" i="10"/>
  <c r="K176" i="10"/>
  <c r="L176" i="10"/>
  <c r="M176" i="10"/>
  <c r="N176" i="10"/>
  <c r="O176" i="10"/>
  <c r="P176" i="10"/>
  <c r="Q176" i="10"/>
  <c r="AI176" i="10" s="1"/>
  <c r="R176" i="10"/>
  <c r="S176" i="10"/>
  <c r="T176" i="10"/>
  <c r="U176" i="10"/>
  <c r="V176" i="10"/>
  <c r="Z176" i="10"/>
  <c r="A177" i="10"/>
  <c r="C177" i="10"/>
  <c r="D177" i="10"/>
  <c r="E177" i="10"/>
  <c r="F177" i="10"/>
  <c r="G177" i="10"/>
  <c r="H177" i="10"/>
  <c r="I177" i="10"/>
  <c r="J177" i="10"/>
  <c r="K177" i="10"/>
  <c r="L177" i="10"/>
  <c r="M177" i="10"/>
  <c r="N177" i="10"/>
  <c r="O177" i="10"/>
  <c r="P177" i="10"/>
  <c r="Q177" i="10"/>
  <c r="AI177" i="10" s="1"/>
  <c r="R177" i="10"/>
  <c r="S177" i="10"/>
  <c r="T177" i="10"/>
  <c r="Z177" i="10" s="1"/>
  <c r="U177" i="10"/>
  <c r="V177" i="10"/>
  <c r="A178" i="10"/>
  <c r="C178" i="10"/>
  <c r="D178" i="10"/>
  <c r="E178" i="10"/>
  <c r="F178" i="10"/>
  <c r="G178" i="10"/>
  <c r="H178" i="10"/>
  <c r="I178" i="10"/>
  <c r="J178" i="10"/>
  <c r="K178" i="10"/>
  <c r="L178" i="10"/>
  <c r="M178" i="10"/>
  <c r="N178" i="10"/>
  <c r="O178" i="10"/>
  <c r="P178" i="10"/>
  <c r="Q178" i="10"/>
  <c r="R178" i="10"/>
  <c r="S178" i="10"/>
  <c r="T178" i="10"/>
  <c r="Z178" i="10" s="1"/>
  <c r="U178" i="10"/>
  <c r="V178" i="10"/>
  <c r="A179" i="10"/>
  <c r="C179" i="10"/>
  <c r="D179" i="10"/>
  <c r="E179" i="10"/>
  <c r="F179" i="10"/>
  <c r="G179" i="10"/>
  <c r="H179" i="10"/>
  <c r="I179" i="10"/>
  <c r="J179" i="10"/>
  <c r="K179" i="10"/>
  <c r="L179" i="10"/>
  <c r="M179" i="10"/>
  <c r="N179" i="10"/>
  <c r="O179" i="10"/>
  <c r="P179" i="10"/>
  <c r="Q179" i="10"/>
  <c r="AI179" i="10" s="1"/>
  <c r="R179" i="10"/>
  <c r="S179" i="10"/>
  <c r="T179" i="10"/>
  <c r="U179" i="10"/>
  <c r="V179" i="10"/>
  <c r="Z179" i="10"/>
  <c r="A180" i="10"/>
  <c r="C180" i="10"/>
  <c r="D180" i="10"/>
  <c r="E180" i="10"/>
  <c r="F180" i="10"/>
  <c r="G180" i="10"/>
  <c r="H180" i="10"/>
  <c r="I180" i="10"/>
  <c r="J180" i="10"/>
  <c r="K180" i="10"/>
  <c r="L180" i="10"/>
  <c r="M180" i="10"/>
  <c r="N180" i="10"/>
  <c r="O180" i="10"/>
  <c r="P180" i="10"/>
  <c r="Q180" i="10"/>
  <c r="AI180" i="10" s="1"/>
  <c r="R180" i="10"/>
  <c r="S180" i="10"/>
  <c r="T180" i="10"/>
  <c r="Z180" i="10" s="1"/>
  <c r="U180" i="10"/>
  <c r="V180" i="10"/>
  <c r="A181" i="10"/>
  <c r="C181" i="10"/>
  <c r="D181" i="10"/>
  <c r="E181" i="10"/>
  <c r="F181" i="10"/>
  <c r="G181" i="10"/>
  <c r="H181" i="10"/>
  <c r="I181" i="10"/>
  <c r="J181" i="10"/>
  <c r="K181" i="10"/>
  <c r="L181" i="10"/>
  <c r="M181" i="10"/>
  <c r="N181" i="10"/>
  <c r="O181" i="10"/>
  <c r="P181" i="10"/>
  <c r="Q181" i="10"/>
  <c r="R181" i="10"/>
  <c r="S181" i="10"/>
  <c r="T181" i="10"/>
  <c r="U181" i="10"/>
  <c r="V181" i="10"/>
  <c r="Z181" i="10"/>
  <c r="A182" i="10"/>
  <c r="C182" i="10"/>
  <c r="D182" i="10"/>
  <c r="E182" i="10"/>
  <c r="F182" i="10"/>
  <c r="G182" i="10"/>
  <c r="H182" i="10"/>
  <c r="I182" i="10"/>
  <c r="J182" i="10"/>
  <c r="K182" i="10"/>
  <c r="L182" i="10"/>
  <c r="M182" i="10"/>
  <c r="N182" i="10"/>
  <c r="O182" i="10"/>
  <c r="P182" i="10"/>
  <c r="Q182" i="10"/>
  <c r="R182" i="10"/>
  <c r="S182" i="10"/>
  <c r="T182" i="10"/>
  <c r="Z182" i="10" s="1"/>
  <c r="U182" i="10"/>
  <c r="V182" i="10"/>
  <c r="A183" i="10"/>
  <c r="C183" i="10"/>
  <c r="D183" i="10"/>
  <c r="E183" i="10"/>
  <c r="F183" i="10"/>
  <c r="G183" i="10"/>
  <c r="H183" i="10"/>
  <c r="I183" i="10"/>
  <c r="J183" i="10"/>
  <c r="K183" i="10"/>
  <c r="L183" i="10"/>
  <c r="M183" i="10"/>
  <c r="N183" i="10"/>
  <c r="O183" i="10"/>
  <c r="P183" i="10"/>
  <c r="Q183" i="10"/>
  <c r="AI183" i="10" s="1"/>
  <c r="R183" i="10"/>
  <c r="S183" i="10"/>
  <c r="T183" i="10"/>
  <c r="U183" i="10"/>
  <c r="V183" i="10"/>
  <c r="Z183" i="10"/>
  <c r="A184" i="10"/>
  <c r="C184" i="10"/>
  <c r="D184" i="10"/>
  <c r="E184" i="10"/>
  <c r="F184" i="10"/>
  <c r="G184" i="10"/>
  <c r="H184" i="10"/>
  <c r="I184" i="10"/>
  <c r="J184" i="10"/>
  <c r="K184" i="10"/>
  <c r="L184" i="10"/>
  <c r="M184" i="10"/>
  <c r="N184" i="10"/>
  <c r="O184" i="10"/>
  <c r="P184" i="10"/>
  <c r="Q184" i="10"/>
  <c r="AI184" i="10" s="1"/>
  <c r="R184" i="10"/>
  <c r="S184" i="10"/>
  <c r="T184" i="10"/>
  <c r="Z184" i="10" s="1"/>
  <c r="U184" i="10"/>
  <c r="V184" i="10"/>
  <c r="A185" i="10"/>
  <c r="C185" i="10"/>
  <c r="D185" i="10"/>
  <c r="E185" i="10"/>
  <c r="F185" i="10"/>
  <c r="G185" i="10"/>
  <c r="H185" i="10"/>
  <c r="I185" i="10"/>
  <c r="J185" i="10"/>
  <c r="K185" i="10"/>
  <c r="L185" i="10"/>
  <c r="M185" i="10"/>
  <c r="N185" i="10"/>
  <c r="O185" i="10"/>
  <c r="P185" i="10"/>
  <c r="Q185" i="10"/>
  <c r="R185" i="10"/>
  <c r="S185" i="10"/>
  <c r="T185" i="10"/>
  <c r="U185" i="10"/>
  <c r="V185" i="10"/>
  <c r="Z185" i="10"/>
  <c r="A186" i="10"/>
  <c r="C186" i="10"/>
  <c r="D186" i="10"/>
  <c r="E186" i="10"/>
  <c r="F186" i="10"/>
  <c r="G186" i="10"/>
  <c r="H186" i="10"/>
  <c r="I186" i="10"/>
  <c r="J186" i="10"/>
  <c r="K186" i="10"/>
  <c r="L186" i="10"/>
  <c r="M186" i="10"/>
  <c r="N186" i="10"/>
  <c r="O186" i="10"/>
  <c r="P186" i="10"/>
  <c r="Q186" i="10"/>
  <c r="AI186" i="10" s="1"/>
  <c r="R186" i="10"/>
  <c r="S186" i="10"/>
  <c r="T186" i="10"/>
  <c r="U186" i="10"/>
  <c r="V186" i="10"/>
  <c r="Z186" i="10"/>
  <c r="A187" i="10"/>
  <c r="C187" i="10"/>
  <c r="D187" i="10"/>
  <c r="E187" i="10"/>
  <c r="F187" i="10"/>
  <c r="G187" i="10"/>
  <c r="H187" i="10"/>
  <c r="I187" i="10"/>
  <c r="J187" i="10"/>
  <c r="K187" i="10"/>
  <c r="L187" i="10"/>
  <c r="M187" i="10"/>
  <c r="N187" i="10"/>
  <c r="O187" i="10"/>
  <c r="P187" i="10"/>
  <c r="Q187" i="10"/>
  <c r="R187" i="10"/>
  <c r="S187" i="10"/>
  <c r="T187" i="10"/>
  <c r="U187" i="10"/>
  <c r="V187" i="10"/>
  <c r="Z187" i="10"/>
  <c r="A188" i="10"/>
  <c r="C188" i="10"/>
  <c r="D188" i="10"/>
  <c r="E188" i="10"/>
  <c r="F188" i="10"/>
  <c r="G188" i="10"/>
  <c r="H188" i="10"/>
  <c r="I188" i="10"/>
  <c r="J188" i="10"/>
  <c r="K188" i="10"/>
  <c r="L188" i="10"/>
  <c r="M188" i="10"/>
  <c r="N188" i="10"/>
  <c r="O188" i="10"/>
  <c r="P188" i="10"/>
  <c r="Q188" i="10"/>
  <c r="R188" i="10"/>
  <c r="S188" i="10"/>
  <c r="T188" i="10"/>
  <c r="Z188" i="10" s="1"/>
  <c r="U188" i="10"/>
  <c r="V188" i="10"/>
  <c r="A189" i="10"/>
  <c r="C189" i="10"/>
  <c r="D189" i="10"/>
  <c r="E189" i="10"/>
  <c r="F189" i="10"/>
  <c r="G189" i="10"/>
  <c r="H189" i="10"/>
  <c r="I189" i="10"/>
  <c r="J189" i="10"/>
  <c r="K189" i="10"/>
  <c r="L189" i="10"/>
  <c r="M189" i="10"/>
  <c r="N189" i="10"/>
  <c r="O189" i="10"/>
  <c r="P189" i="10"/>
  <c r="Q189" i="10"/>
  <c r="R189" i="10"/>
  <c r="S189" i="10"/>
  <c r="T189" i="10"/>
  <c r="Z189" i="10" s="1"/>
  <c r="U189" i="10"/>
  <c r="V189" i="10"/>
  <c r="A190" i="10"/>
  <c r="C190" i="10"/>
  <c r="D190" i="10"/>
  <c r="E190" i="10"/>
  <c r="F190" i="10"/>
  <c r="G190" i="10"/>
  <c r="H190" i="10"/>
  <c r="I190" i="10"/>
  <c r="J190" i="10"/>
  <c r="K190" i="10"/>
  <c r="L190" i="10"/>
  <c r="M190" i="10"/>
  <c r="N190" i="10"/>
  <c r="O190" i="10"/>
  <c r="P190" i="10"/>
  <c r="Q190" i="10"/>
  <c r="AI190" i="10" s="1"/>
  <c r="R190" i="10"/>
  <c r="S190" i="10"/>
  <c r="T190" i="10"/>
  <c r="U190" i="10"/>
  <c r="V190" i="10"/>
  <c r="Z190" i="10"/>
  <c r="A191" i="10"/>
  <c r="C191" i="10"/>
  <c r="D191" i="10"/>
  <c r="E191" i="10"/>
  <c r="F191" i="10"/>
  <c r="G191" i="10"/>
  <c r="H191" i="10"/>
  <c r="I191" i="10"/>
  <c r="J191" i="10"/>
  <c r="K191" i="10"/>
  <c r="L191" i="10"/>
  <c r="M191" i="10"/>
  <c r="N191" i="10"/>
  <c r="O191" i="10"/>
  <c r="P191" i="10"/>
  <c r="Q191" i="10"/>
  <c r="R191" i="10"/>
  <c r="S191" i="10"/>
  <c r="T191" i="10"/>
  <c r="Z191" i="10" s="1"/>
  <c r="U191" i="10"/>
  <c r="V191" i="10"/>
  <c r="A192" i="10"/>
  <c r="C192" i="10"/>
  <c r="D192" i="10"/>
  <c r="E192" i="10"/>
  <c r="F192" i="10"/>
  <c r="G192" i="10"/>
  <c r="H192" i="10"/>
  <c r="I192" i="10"/>
  <c r="J192" i="10"/>
  <c r="K192" i="10"/>
  <c r="L192" i="10"/>
  <c r="M192" i="10"/>
  <c r="N192" i="10"/>
  <c r="O192" i="10"/>
  <c r="P192" i="10"/>
  <c r="Q192" i="10"/>
  <c r="R192" i="10"/>
  <c r="S192" i="10"/>
  <c r="T192" i="10"/>
  <c r="Z192" i="10" s="1"/>
  <c r="U192" i="10"/>
  <c r="V192" i="10"/>
  <c r="A193" i="10"/>
  <c r="C193" i="10"/>
  <c r="D193" i="10"/>
  <c r="E193" i="10"/>
  <c r="F193" i="10"/>
  <c r="G193" i="10"/>
  <c r="H193" i="10"/>
  <c r="I193" i="10"/>
  <c r="J193" i="10"/>
  <c r="K193" i="10"/>
  <c r="L193" i="10"/>
  <c r="M193" i="10"/>
  <c r="N193" i="10"/>
  <c r="O193" i="10"/>
  <c r="P193" i="10"/>
  <c r="Q193" i="10"/>
  <c r="AI193" i="10" s="1"/>
  <c r="R193" i="10"/>
  <c r="S193" i="10"/>
  <c r="T193" i="10"/>
  <c r="U193" i="10"/>
  <c r="V193" i="10"/>
  <c r="Z193" i="10"/>
  <c r="A194" i="10"/>
  <c r="C194" i="10"/>
  <c r="D194" i="10"/>
  <c r="E194" i="10"/>
  <c r="F194" i="10"/>
  <c r="G194" i="10"/>
  <c r="H194" i="10"/>
  <c r="I194" i="10"/>
  <c r="J194" i="10"/>
  <c r="K194" i="10"/>
  <c r="L194" i="10"/>
  <c r="M194" i="10"/>
  <c r="N194" i="10"/>
  <c r="O194" i="10"/>
  <c r="P194" i="10"/>
  <c r="Q194" i="10"/>
  <c r="AI194" i="10" s="1"/>
  <c r="R194" i="10"/>
  <c r="S194" i="10"/>
  <c r="T194" i="10"/>
  <c r="Z194" i="10" s="1"/>
  <c r="U194" i="10"/>
  <c r="V194" i="10"/>
  <c r="A195" i="10"/>
  <c r="C195" i="10"/>
  <c r="D195" i="10"/>
  <c r="E195" i="10"/>
  <c r="F195" i="10"/>
  <c r="G195" i="10"/>
  <c r="H195" i="10"/>
  <c r="I195" i="10"/>
  <c r="J195" i="10"/>
  <c r="K195" i="10"/>
  <c r="L195" i="10"/>
  <c r="M195" i="10"/>
  <c r="N195" i="10"/>
  <c r="O195" i="10"/>
  <c r="P195" i="10"/>
  <c r="Q195" i="10"/>
  <c r="R195" i="10"/>
  <c r="S195" i="10"/>
  <c r="T195" i="10"/>
  <c r="Z195" i="10" s="1"/>
  <c r="U195" i="10"/>
  <c r="V195" i="10"/>
  <c r="A196" i="10"/>
  <c r="C196" i="10"/>
  <c r="D196" i="10"/>
  <c r="E196" i="10"/>
  <c r="F196" i="10"/>
  <c r="G196" i="10"/>
  <c r="H196" i="10"/>
  <c r="I196" i="10"/>
  <c r="J196" i="10"/>
  <c r="K196" i="10"/>
  <c r="L196" i="10"/>
  <c r="M196" i="10"/>
  <c r="N196" i="10"/>
  <c r="O196" i="10"/>
  <c r="P196" i="10"/>
  <c r="Q196" i="10"/>
  <c r="AI196" i="10" s="1"/>
  <c r="R196" i="10"/>
  <c r="S196" i="10"/>
  <c r="T196" i="10"/>
  <c r="U196" i="10"/>
  <c r="V196" i="10"/>
  <c r="Z196" i="10"/>
  <c r="A197" i="10"/>
  <c r="C197" i="10"/>
  <c r="D197" i="10"/>
  <c r="E197" i="10"/>
  <c r="F197" i="10"/>
  <c r="G197" i="10"/>
  <c r="H197" i="10"/>
  <c r="I197" i="10"/>
  <c r="J197" i="10"/>
  <c r="K197" i="10"/>
  <c r="L197" i="10"/>
  <c r="M197" i="10"/>
  <c r="N197" i="10"/>
  <c r="O197" i="10"/>
  <c r="P197" i="10"/>
  <c r="Q197" i="10"/>
  <c r="AI197" i="10" s="1"/>
  <c r="R197" i="10"/>
  <c r="S197" i="10"/>
  <c r="T197" i="10"/>
  <c r="Z197" i="10" s="1"/>
  <c r="U197" i="10"/>
  <c r="V197" i="10"/>
  <c r="A198" i="10"/>
  <c r="C198" i="10"/>
  <c r="D198" i="10"/>
  <c r="E198" i="10"/>
  <c r="F198" i="10"/>
  <c r="G198" i="10"/>
  <c r="H198" i="10"/>
  <c r="I198" i="10"/>
  <c r="J198" i="10"/>
  <c r="K198" i="10"/>
  <c r="L198" i="10"/>
  <c r="M198" i="10"/>
  <c r="N198" i="10"/>
  <c r="O198" i="10"/>
  <c r="P198" i="10"/>
  <c r="Q198" i="10"/>
  <c r="R198" i="10"/>
  <c r="S198" i="10"/>
  <c r="T198" i="10"/>
  <c r="Z198" i="10" s="1"/>
  <c r="U198" i="10"/>
  <c r="V198" i="10"/>
  <c r="A199" i="10"/>
  <c r="C199" i="10"/>
  <c r="D199" i="10"/>
  <c r="E199" i="10"/>
  <c r="F199" i="10"/>
  <c r="G199" i="10"/>
  <c r="H199" i="10"/>
  <c r="I199" i="10"/>
  <c r="J199" i="10"/>
  <c r="K199" i="10"/>
  <c r="L199" i="10"/>
  <c r="M199" i="10"/>
  <c r="N199" i="10"/>
  <c r="O199" i="10"/>
  <c r="P199" i="10"/>
  <c r="Q199" i="10"/>
  <c r="R199" i="10"/>
  <c r="S199" i="10"/>
  <c r="T199" i="10"/>
  <c r="U199" i="10"/>
  <c r="V199" i="10"/>
  <c r="Z199" i="10"/>
  <c r="A200" i="10"/>
  <c r="C200" i="10"/>
  <c r="D200" i="10"/>
  <c r="E200" i="10"/>
  <c r="F200" i="10"/>
  <c r="G200" i="10"/>
  <c r="H200" i="10"/>
  <c r="I200" i="10"/>
  <c r="J200" i="10"/>
  <c r="K200" i="10"/>
  <c r="L200" i="10"/>
  <c r="M200" i="10"/>
  <c r="N200" i="10"/>
  <c r="O200" i="10"/>
  <c r="P200" i="10"/>
  <c r="Q200" i="10"/>
  <c r="AI200" i="10" s="1"/>
  <c r="R200" i="10"/>
  <c r="S200" i="10"/>
  <c r="T200" i="10"/>
  <c r="U200" i="10"/>
  <c r="V200" i="10"/>
  <c r="Z200" i="10"/>
  <c r="A201" i="10"/>
  <c r="C201" i="10"/>
  <c r="D201" i="10"/>
  <c r="E201" i="10"/>
  <c r="F201" i="10"/>
  <c r="G201" i="10"/>
  <c r="H201" i="10"/>
  <c r="I201" i="10"/>
  <c r="J201" i="10"/>
  <c r="K201" i="10"/>
  <c r="L201" i="10"/>
  <c r="M201" i="10"/>
  <c r="N201" i="10"/>
  <c r="O201" i="10"/>
  <c r="P201" i="10"/>
  <c r="Q201" i="10"/>
  <c r="AI201" i="10" s="1"/>
  <c r="R201" i="10"/>
  <c r="S201" i="10"/>
  <c r="T201" i="10"/>
  <c r="Z201" i="10" s="1"/>
  <c r="U201" i="10"/>
  <c r="V201" i="10"/>
  <c r="A202" i="10"/>
  <c r="C202" i="10"/>
  <c r="D202" i="10"/>
  <c r="E202" i="10"/>
  <c r="F202" i="10"/>
  <c r="G202" i="10"/>
  <c r="H202" i="10"/>
  <c r="I202" i="10"/>
  <c r="J202" i="10"/>
  <c r="K202" i="10"/>
  <c r="L202" i="10"/>
  <c r="M202" i="10"/>
  <c r="N202" i="10"/>
  <c r="O202" i="10"/>
  <c r="P202" i="10"/>
  <c r="Q202" i="10"/>
  <c r="R202" i="10"/>
  <c r="S202" i="10"/>
  <c r="T202" i="10"/>
  <c r="Z202" i="10" s="1"/>
  <c r="U202" i="10"/>
  <c r="V202" i="10"/>
  <c r="A203" i="10"/>
  <c r="C203" i="10"/>
  <c r="D203" i="10"/>
  <c r="E203" i="10"/>
  <c r="F203" i="10"/>
  <c r="G203" i="10"/>
  <c r="H203" i="10"/>
  <c r="I203" i="10"/>
  <c r="J203" i="10"/>
  <c r="K203" i="10"/>
  <c r="L203" i="10"/>
  <c r="M203" i="10"/>
  <c r="N203" i="10"/>
  <c r="O203" i="10"/>
  <c r="P203" i="10"/>
  <c r="Q203" i="10"/>
  <c r="AI203" i="10" s="1"/>
  <c r="R203" i="10"/>
  <c r="S203" i="10"/>
  <c r="T203" i="10"/>
  <c r="U203" i="10"/>
  <c r="V203" i="10"/>
  <c r="Z203" i="10"/>
  <c r="A204" i="10"/>
  <c r="C204" i="10"/>
  <c r="D204" i="10"/>
  <c r="E204" i="10"/>
  <c r="F204" i="10"/>
  <c r="G204" i="10"/>
  <c r="H204" i="10"/>
  <c r="I204" i="10"/>
  <c r="J204" i="10"/>
  <c r="K204" i="10"/>
  <c r="L204" i="10"/>
  <c r="M204" i="10"/>
  <c r="N204" i="10"/>
  <c r="O204" i="10"/>
  <c r="P204" i="10"/>
  <c r="Q204" i="10"/>
  <c r="AI204" i="10" s="1"/>
  <c r="R204" i="10"/>
  <c r="S204" i="10"/>
  <c r="T204" i="10"/>
  <c r="Z204" i="10" s="1"/>
  <c r="U204" i="10"/>
  <c r="V204" i="10"/>
  <c r="A205" i="10"/>
  <c r="C205" i="10"/>
  <c r="D205" i="10"/>
  <c r="E205" i="10"/>
  <c r="F205" i="10"/>
  <c r="G205" i="10"/>
  <c r="H205" i="10"/>
  <c r="I205" i="10"/>
  <c r="J205" i="10"/>
  <c r="K205" i="10"/>
  <c r="L205" i="10"/>
  <c r="M205" i="10"/>
  <c r="N205" i="10"/>
  <c r="O205" i="10"/>
  <c r="P205" i="10"/>
  <c r="Q205" i="10"/>
  <c r="R205" i="10"/>
  <c r="S205" i="10"/>
  <c r="T205" i="10"/>
  <c r="Z205" i="10" s="1"/>
  <c r="U205" i="10"/>
  <c r="V205" i="10"/>
  <c r="A206" i="10"/>
  <c r="C206" i="10"/>
  <c r="D206" i="10"/>
  <c r="E206" i="10"/>
  <c r="F206" i="10"/>
  <c r="G206" i="10"/>
  <c r="H206" i="10"/>
  <c r="I206" i="10"/>
  <c r="J206" i="10"/>
  <c r="K206" i="10"/>
  <c r="L206" i="10"/>
  <c r="M206" i="10"/>
  <c r="N206" i="10"/>
  <c r="O206" i="10"/>
  <c r="P206" i="10"/>
  <c r="Q206" i="10"/>
  <c r="AI206" i="10" s="1"/>
  <c r="R206" i="10"/>
  <c r="S206" i="10"/>
  <c r="T206" i="10"/>
  <c r="U206" i="10"/>
  <c r="V206" i="10"/>
  <c r="Z206" i="10"/>
  <c r="A207" i="10"/>
  <c r="C207" i="10"/>
  <c r="D207" i="10"/>
  <c r="E207" i="10"/>
  <c r="F207" i="10"/>
  <c r="G207" i="10"/>
  <c r="H207" i="10"/>
  <c r="I207" i="10"/>
  <c r="J207" i="10"/>
  <c r="K207" i="10"/>
  <c r="L207" i="10"/>
  <c r="M207" i="10"/>
  <c r="N207" i="10"/>
  <c r="O207" i="10"/>
  <c r="P207" i="10"/>
  <c r="Q207" i="10"/>
  <c r="R207" i="10"/>
  <c r="S207" i="10"/>
  <c r="T207" i="10"/>
  <c r="Z207" i="10" s="1"/>
  <c r="U207" i="10"/>
  <c r="V207" i="10"/>
  <c r="A208" i="10"/>
  <c r="C208" i="10"/>
  <c r="D208" i="10"/>
  <c r="E208" i="10"/>
  <c r="F208" i="10"/>
  <c r="G208" i="10"/>
  <c r="H208" i="10"/>
  <c r="I208" i="10"/>
  <c r="J208" i="10"/>
  <c r="K208" i="10"/>
  <c r="L208" i="10"/>
  <c r="M208" i="10"/>
  <c r="N208" i="10"/>
  <c r="O208" i="10"/>
  <c r="P208" i="10"/>
  <c r="Q208" i="10"/>
  <c r="R208" i="10"/>
  <c r="S208" i="10"/>
  <c r="T208" i="10"/>
  <c r="Z208" i="10" s="1"/>
  <c r="U208" i="10"/>
  <c r="V208" i="10"/>
  <c r="A209" i="10"/>
  <c r="C209" i="10"/>
  <c r="D209" i="10"/>
  <c r="E209" i="10"/>
  <c r="F209" i="10"/>
  <c r="G209" i="10"/>
  <c r="H209" i="10"/>
  <c r="I209" i="10"/>
  <c r="J209" i="10"/>
  <c r="K209" i="10"/>
  <c r="L209" i="10"/>
  <c r="M209" i="10"/>
  <c r="N209" i="10"/>
  <c r="O209" i="10"/>
  <c r="P209" i="10"/>
  <c r="Q209" i="10"/>
  <c r="R209" i="10"/>
  <c r="S209" i="10"/>
  <c r="T209" i="10"/>
  <c r="U209" i="10"/>
  <c r="V209" i="10"/>
  <c r="Z209" i="10"/>
  <c r="AI209" i="10"/>
  <c r="A210" i="10"/>
  <c r="C210" i="10"/>
  <c r="D210" i="10"/>
  <c r="E210" i="10"/>
  <c r="F210" i="10"/>
  <c r="G210" i="10"/>
  <c r="H210" i="10"/>
  <c r="I210" i="10"/>
  <c r="J210" i="10"/>
  <c r="K210" i="10"/>
  <c r="L210" i="10"/>
  <c r="M210" i="10"/>
  <c r="N210" i="10"/>
  <c r="O210" i="10"/>
  <c r="P210" i="10"/>
  <c r="Q210" i="10"/>
  <c r="AI210" i="10" s="1"/>
  <c r="R210" i="10"/>
  <c r="S210" i="10"/>
  <c r="T210" i="10"/>
  <c r="U210" i="10"/>
  <c r="V210" i="10"/>
  <c r="Z210" i="10"/>
  <c r="A211" i="10"/>
  <c r="C211" i="10"/>
  <c r="D211" i="10"/>
  <c r="E211" i="10"/>
  <c r="F211" i="10"/>
  <c r="G211" i="10"/>
  <c r="H211" i="10"/>
  <c r="I211" i="10"/>
  <c r="J211" i="10"/>
  <c r="K211" i="10"/>
  <c r="L211" i="10"/>
  <c r="M211" i="10"/>
  <c r="N211" i="10"/>
  <c r="O211" i="10"/>
  <c r="P211" i="10"/>
  <c r="Q211" i="10"/>
  <c r="R211" i="10"/>
  <c r="S211" i="10"/>
  <c r="T211" i="10"/>
  <c r="Z211" i="10" s="1"/>
  <c r="U211" i="10"/>
  <c r="V211" i="10"/>
  <c r="A212" i="10"/>
  <c r="C212" i="10"/>
  <c r="D212" i="10"/>
  <c r="E212" i="10"/>
  <c r="F212" i="10"/>
  <c r="G212" i="10"/>
  <c r="H212" i="10"/>
  <c r="I212" i="10"/>
  <c r="J212" i="10"/>
  <c r="K212" i="10"/>
  <c r="L212" i="10"/>
  <c r="M212" i="10"/>
  <c r="N212" i="10"/>
  <c r="O212" i="10"/>
  <c r="P212" i="10"/>
  <c r="Q212" i="10"/>
  <c r="R212" i="10"/>
  <c r="S212" i="10"/>
  <c r="T212" i="10"/>
  <c r="Z212" i="10" s="1"/>
  <c r="U212" i="10"/>
  <c r="V212" i="10"/>
  <c r="A213" i="10"/>
  <c r="C213" i="10"/>
  <c r="D213" i="10"/>
  <c r="E213" i="10"/>
  <c r="F213" i="10"/>
  <c r="G213" i="10"/>
  <c r="H213" i="10"/>
  <c r="I213" i="10"/>
  <c r="J213" i="10"/>
  <c r="K213" i="10"/>
  <c r="L213" i="10"/>
  <c r="M213" i="10"/>
  <c r="N213" i="10"/>
  <c r="O213" i="10"/>
  <c r="P213" i="10"/>
  <c r="Q213" i="10"/>
  <c r="R213" i="10"/>
  <c r="S213" i="10"/>
  <c r="T213" i="10"/>
  <c r="U213" i="10"/>
  <c r="V213" i="10"/>
  <c r="Z213" i="10"/>
  <c r="A214" i="10"/>
  <c r="C214" i="10"/>
  <c r="D214" i="10"/>
  <c r="E214" i="10"/>
  <c r="F214" i="10"/>
  <c r="G214" i="10"/>
  <c r="H214" i="10"/>
  <c r="I214" i="10"/>
  <c r="J214" i="10"/>
  <c r="K214" i="10"/>
  <c r="L214" i="10"/>
  <c r="M214" i="10"/>
  <c r="N214" i="10"/>
  <c r="O214" i="10"/>
  <c r="P214" i="10"/>
  <c r="Q214" i="10"/>
  <c r="R214" i="10"/>
  <c r="S214" i="10"/>
  <c r="T214" i="10"/>
  <c r="Z214" i="10" s="1"/>
  <c r="U214" i="10"/>
  <c r="V214" i="10"/>
  <c r="A215" i="10"/>
  <c r="C215" i="10"/>
  <c r="D215" i="10"/>
  <c r="E215" i="10"/>
  <c r="F215" i="10"/>
  <c r="G215" i="10"/>
  <c r="H215" i="10"/>
  <c r="I215" i="10"/>
  <c r="J215" i="10"/>
  <c r="K215" i="10"/>
  <c r="L215" i="10"/>
  <c r="M215" i="10"/>
  <c r="N215" i="10"/>
  <c r="O215" i="10"/>
  <c r="P215" i="10"/>
  <c r="Q215" i="10"/>
  <c r="R215" i="10"/>
  <c r="S215" i="10"/>
  <c r="T215" i="10"/>
  <c r="U215" i="10"/>
  <c r="V215" i="10"/>
  <c r="Z215" i="10"/>
  <c r="A216" i="10"/>
  <c r="C216" i="10"/>
  <c r="D216" i="10"/>
  <c r="E216" i="10"/>
  <c r="F216" i="10"/>
  <c r="G216" i="10"/>
  <c r="H216" i="10"/>
  <c r="I216" i="10"/>
  <c r="J216" i="10"/>
  <c r="K216" i="10"/>
  <c r="L216" i="10"/>
  <c r="M216" i="10"/>
  <c r="N216" i="10"/>
  <c r="O216" i="10"/>
  <c r="P216" i="10"/>
  <c r="Q216" i="10"/>
  <c r="R216" i="10"/>
  <c r="S216" i="10"/>
  <c r="T216" i="10"/>
  <c r="Z216" i="10" s="1"/>
  <c r="U216" i="10"/>
  <c r="V216" i="10"/>
  <c r="A217" i="10"/>
  <c r="C217" i="10"/>
  <c r="D217" i="10"/>
  <c r="E217" i="10"/>
  <c r="F217" i="10"/>
  <c r="G217" i="10"/>
  <c r="H217" i="10"/>
  <c r="I217" i="10"/>
  <c r="J217" i="10"/>
  <c r="K217" i="10"/>
  <c r="L217" i="10"/>
  <c r="M217" i="10"/>
  <c r="N217" i="10"/>
  <c r="O217" i="10"/>
  <c r="P217" i="10"/>
  <c r="Q217" i="10"/>
  <c r="R217" i="10"/>
  <c r="S217" i="10"/>
  <c r="T217" i="10"/>
  <c r="Z217" i="10" s="1"/>
  <c r="U217" i="10"/>
  <c r="V217" i="10"/>
  <c r="A218" i="10"/>
  <c r="C218" i="10"/>
  <c r="D218" i="10"/>
  <c r="E218" i="10"/>
  <c r="F218" i="10"/>
  <c r="G218" i="10"/>
  <c r="H218" i="10"/>
  <c r="I218" i="10"/>
  <c r="J218" i="10"/>
  <c r="K218" i="10"/>
  <c r="L218" i="10"/>
  <c r="M218" i="10"/>
  <c r="N218" i="10"/>
  <c r="O218" i="10"/>
  <c r="P218" i="10"/>
  <c r="Q218" i="10"/>
  <c r="R218" i="10"/>
  <c r="S218" i="10"/>
  <c r="T218" i="10"/>
  <c r="Z218" i="10" s="1"/>
  <c r="U218" i="10"/>
  <c r="V218" i="10"/>
  <c r="AI218" i="10"/>
  <c r="A219" i="10"/>
  <c r="C219" i="10"/>
  <c r="D219" i="10"/>
  <c r="E219" i="10"/>
  <c r="F219" i="10"/>
  <c r="G219" i="10"/>
  <c r="H219" i="10"/>
  <c r="I219" i="10"/>
  <c r="J219" i="10"/>
  <c r="K219" i="10"/>
  <c r="L219" i="10"/>
  <c r="M219" i="10"/>
  <c r="N219" i="10"/>
  <c r="O219" i="10"/>
  <c r="P219" i="10"/>
  <c r="Q219" i="10"/>
  <c r="AI219" i="10" s="1"/>
  <c r="R219" i="10"/>
  <c r="S219" i="10"/>
  <c r="T219" i="10"/>
  <c r="U219" i="10"/>
  <c r="V219" i="10"/>
  <c r="Z219" i="10"/>
  <c r="A220" i="10"/>
  <c r="C220" i="10"/>
  <c r="D220" i="10"/>
  <c r="E220" i="10"/>
  <c r="F220" i="10"/>
  <c r="G220" i="10"/>
  <c r="H220" i="10"/>
  <c r="I220" i="10"/>
  <c r="J220" i="10"/>
  <c r="K220" i="10"/>
  <c r="L220" i="10"/>
  <c r="M220" i="10"/>
  <c r="N220" i="10"/>
  <c r="O220" i="10"/>
  <c r="P220" i="10"/>
  <c r="Q220" i="10"/>
  <c r="AI220" i="10" s="1"/>
  <c r="R220" i="10"/>
  <c r="S220" i="10"/>
  <c r="T220" i="10"/>
  <c r="Z220" i="10" s="1"/>
  <c r="U220" i="10"/>
  <c r="V220" i="10"/>
  <c r="A221" i="10"/>
  <c r="C221" i="10"/>
  <c r="D221" i="10"/>
  <c r="E221" i="10"/>
  <c r="F221" i="10"/>
  <c r="G221" i="10"/>
  <c r="H221" i="10"/>
  <c r="I221" i="10"/>
  <c r="J221" i="10"/>
  <c r="K221" i="10"/>
  <c r="L221" i="10"/>
  <c r="M221" i="10"/>
  <c r="N221" i="10"/>
  <c r="O221" i="10"/>
  <c r="P221" i="10"/>
  <c r="Q221" i="10"/>
  <c r="R221" i="10"/>
  <c r="S221" i="10"/>
  <c r="T221" i="10"/>
  <c r="Z221" i="10" s="1"/>
  <c r="U221" i="10"/>
  <c r="V221" i="10"/>
  <c r="A222" i="10"/>
  <c r="C222" i="10"/>
  <c r="D222" i="10"/>
  <c r="E222" i="10"/>
  <c r="F222" i="10"/>
  <c r="G222" i="10"/>
  <c r="H222" i="10"/>
  <c r="I222" i="10"/>
  <c r="J222" i="10"/>
  <c r="K222" i="10"/>
  <c r="L222" i="10"/>
  <c r="M222" i="10"/>
  <c r="N222" i="10"/>
  <c r="O222" i="10"/>
  <c r="P222" i="10"/>
  <c r="Q222" i="10"/>
  <c r="AI222" i="10" s="1"/>
  <c r="R222" i="10"/>
  <c r="S222" i="10"/>
  <c r="T222" i="10"/>
  <c r="U222" i="10"/>
  <c r="V222" i="10"/>
  <c r="Z222" i="10"/>
  <c r="A223" i="10"/>
  <c r="C223" i="10"/>
  <c r="D223" i="10"/>
  <c r="E223" i="10"/>
  <c r="F223" i="10"/>
  <c r="G223" i="10"/>
  <c r="H223" i="10"/>
  <c r="I223" i="10"/>
  <c r="J223" i="10"/>
  <c r="K223" i="10"/>
  <c r="L223" i="10"/>
  <c r="M223" i="10"/>
  <c r="N223" i="10"/>
  <c r="O223" i="10"/>
  <c r="P223" i="10"/>
  <c r="Q223" i="10"/>
  <c r="AI223" i="10" s="1"/>
  <c r="R223" i="10"/>
  <c r="S223" i="10"/>
  <c r="T223" i="10"/>
  <c r="Z223" i="10" s="1"/>
  <c r="U223" i="10"/>
  <c r="V223" i="10"/>
  <c r="A224" i="10"/>
  <c r="C224" i="10"/>
  <c r="D224" i="10"/>
  <c r="E224" i="10"/>
  <c r="F224" i="10"/>
  <c r="G224" i="10"/>
  <c r="H224" i="10"/>
  <c r="I224" i="10"/>
  <c r="J224" i="10"/>
  <c r="K224" i="10"/>
  <c r="L224" i="10"/>
  <c r="M224" i="10"/>
  <c r="N224" i="10"/>
  <c r="O224" i="10"/>
  <c r="P224" i="10"/>
  <c r="Q224" i="10"/>
  <c r="R224" i="10"/>
  <c r="S224" i="10"/>
  <c r="T224" i="10"/>
  <c r="Z224" i="10" s="1"/>
  <c r="U224" i="10"/>
  <c r="V224" i="10"/>
  <c r="A225" i="10"/>
  <c r="C225" i="10"/>
  <c r="D225" i="10"/>
  <c r="E225" i="10"/>
  <c r="F225" i="10"/>
  <c r="G225" i="10"/>
  <c r="H225" i="10"/>
  <c r="I225" i="10"/>
  <c r="J225" i="10"/>
  <c r="K225" i="10"/>
  <c r="L225" i="10"/>
  <c r="M225" i="10"/>
  <c r="N225" i="10"/>
  <c r="O225" i="10"/>
  <c r="P225" i="10"/>
  <c r="Q225" i="10"/>
  <c r="AI225" i="10" s="1"/>
  <c r="R225" i="10"/>
  <c r="S225" i="10"/>
  <c r="T225" i="10"/>
  <c r="Z225" i="10" s="1"/>
  <c r="U225" i="10"/>
  <c r="V225" i="10"/>
  <c r="A226" i="10"/>
  <c r="C226" i="10"/>
  <c r="D226" i="10"/>
  <c r="E226" i="10"/>
  <c r="F226" i="10"/>
  <c r="G226" i="10"/>
  <c r="H226" i="10"/>
  <c r="I226" i="10"/>
  <c r="J226" i="10"/>
  <c r="K226" i="10"/>
  <c r="L226" i="10"/>
  <c r="M226" i="10"/>
  <c r="N226" i="10"/>
  <c r="O226" i="10"/>
  <c r="P226" i="10"/>
  <c r="Q226" i="10"/>
  <c r="AI226" i="10" s="1"/>
  <c r="R226" i="10"/>
  <c r="S226" i="10"/>
  <c r="T226" i="10"/>
  <c r="U226" i="10"/>
  <c r="V226" i="10"/>
  <c r="Z226" i="10"/>
  <c r="A227" i="10"/>
  <c r="C227" i="10"/>
  <c r="D227" i="10"/>
  <c r="E227" i="10"/>
  <c r="F227" i="10"/>
  <c r="G227" i="10"/>
  <c r="H227" i="10"/>
  <c r="I227" i="10"/>
  <c r="J227" i="10"/>
  <c r="K227" i="10"/>
  <c r="L227" i="10"/>
  <c r="M227" i="10"/>
  <c r="N227" i="10"/>
  <c r="O227" i="10"/>
  <c r="P227" i="10"/>
  <c r="Q227" i="10"/>
  <c r="AI227" i="10" s="1"/>
  <c r="R227" i="10"/>
  <c r="S227" i="10"/>
  <c r="T227" i="10"/>
  <c r="Z227" i="10" s="1"/>
  <c r="U227" i="10"/>
  <c r="V227" i="10"/>
  <c r="A228" i="10"/>
  <c r="C228" i="10"/>
  <c r="D228" i="10"/>
  <c r="E228" i="10"/>
  <c r="F228" i="10"/>
  <c r="G228" i="10"/>
  <c r="H228" i="10"/>
  <c r="I228" i="10"/>
  <c r="J228" i="10"/>
  <c r="K228" i="10"/>
  <c r="L228" i="10"/>
  <c r="M228" i="10"/>
  <c r="N228" i="10"/>
  <c r="O228" i="10"/>
  <c r="P228" i="10"/>
  <c r="Q228" i="10"/>
  <c r="R228" i="10"/>
  <c r="S228" i="10"/>
  <c r="T228" i="10"/>
  <c r="Z228" i="10" s="1"/>
  <c r="U228" i="10"/>
  <c r="V228" i="10"/>
  <c r="A229" i="10"/>
  <c r="C229" i="10"/>
  <c r="D229" i="10"/>
  <c r="E229" i="10"/>
  <c r="F229" i="10"/>
  <c r="G229" i="10"/>
  <c r="H229" i="10"/>
  <c r="I229" i="10"/>
  <c r="J229" i="10"/>
  <c r="K229" i="10"/>
  <c r="L229" i="10"/>
  <c r="M229" i="10"/>
  <c r="N229" i="10"/>
  <c r="O229" i="10"/>
  <c r="P229" i="10"/>
  <c r="Q229" i="10"/>
  <c r="AI229" i="10" s="1"/>
  <c r="R229" i="10"/>
  <c r="S229" i="10"/>
  <c r="T229" i="10"/>
  <c r="Z229" i="10" s="1"/>
  <c r="U229" i="10"/>
  <c r="V229" i="10"/>
  <c r="A230" i="10"/>
  <c r="C230" i="10"/>
  <c r="D230" i="10"/>
  <c r="E230" i="10"/>
  <c r="F230" i="10"/>
  <c r="G230" i="10"/>
  <c r="H230" i="10"/>
  <c r="I230" i="10"/>
  <c r="J230" i="10"/>
  <c r="K230" i="10"/>
  <c r="L230" i="10"/>
  <c r="M230" i="10"/>
  <c r="N230" i="10"/>
  <c r="O230" i="10"/>
  <c r="P230" i="10"/>
  <c r="Q230" i="10"/>
  <c r="AI230" i="10" s="1"/>
  <c r="R230" i="10"/>
  <c r="S230" i="10"/>
  <c r="T230" i="10"/>
  <c r="U230" i="10"/>
  <c r="V230" i="10"/>
  <c r="Z230" i="10"/>
  <c r="A231" i="10"/>
  <c r="C231" i="10"/>
  <c r="D231" i="10"/>
  <c r="E231" i="10"/>
  <c r="F231" i="10"/>
  <c r="G231" i="10"/>
  <c r="H231" i="10"/>
  <c r="I231" i="10"/>
  <c r="J231" i="10"/>
  <c r="K231" i="10"/>
  <c r="L231" i="10"/>
  <c r="M231" i="10"/>
  <c r="N231" i="10"/>
  <c r="O231" i="10"/>
  <c r="P231" i="10"/>
  <c r="Q231" i="10"/>
  <c r="AI231" i="10" s="1"/>
  <c r="R231" i="10"/>
  <c r="S231" i="10"/>
  <c r="T231" i="10"/>
  <c r="Z231" i="10" s="1"/>
  <c r="U231" i="10"/>
  <c r="V231" i="10"/>
  <c r="A232" i="10"/>
  <c r="C232" i="10"/>
  <c r="D232" i="10"/>
  <c r="E232" i="10"/>
  <c r="F232" i="10"/>
  <c r="G232" i="10"/>
  <c r="H232" i="10"/>
  <c r="I232" i="10"/>
  <c r="J232" i="10"/>
  <c r="K232" i="10"/>
  <c r="L232" i="10"/>
  <c r="M232" i="10"/>
  <c r="N232" i="10"/>
  <c r="O232" i="10"/>
  <c r="P232" i="10"/>
  <c r="Q232" i="10"/>
  <c r="R232" i="10"/>
  <c r="S232" i="10"/>
  <c r="T232" i="10"/>
  <c r="Z232" i="10" s="1"/>
  <c r="U232" i="10"/>
  <c r="V232" i="10"/>
  <c r="A233" i="10"/>
  <c r="C233" i="10"/>
  <c r="D233" i="10"/>
  <c r="E233" i="10"/>
  <c r="F233" i="10"/>
  <c r="G233" i="10"/>
  <c r="H233" i="10"/>
  <c r="I233" i="10"/>
  <c r="J233" i="10"/>
  <c r="K233" i="10"/>
  <c r="L233" i="10"/>
  <c r="M233" i="10"/>
  <c r="N233" i="10"/>
  <c r="O233" i="10"/>
  <c r="P233" i="10"/>
  <c r="Q233" i="10"/>
  <c r="AI233" i="10" s="1"/>
  <c r="R233" i="10"/>
  <c r="S233" i="10"/>
  <c r="T233" i="10"/>
  <c r="Z233" i="10" s="1"/>
  <c r="U233" i="10"/>
  <c r="V233" i="10"/>
  <c r="A234" i="10"/>
  <c r="C234" i="10"/>
  <c r="D234" i="10"/>
  <c r="E234" i="10"/>
  <c r="F234" i="10"/>
  <c r="G234" i="10"/>
  <c r="H234" i="10"/>
  <c r="I234" i="10"/>
  <c r="J234" i="10"/>
  <c r="K234" i="10"/>
  <c r="L234" i="10"/>
  <c r="M234" i="10"/>
  <c r="N234" i="10"/>
  <c r="O234" i="10"/>
  <c r="P234" i="10"/>
  <c r="Q234" i="10"/>
  <c r="AI234" i="10" s="1"/>
  <c r="R234" i="10"/>
  <c r="S234" i="10"/>
  <c r="T234" i="10"/>
  <c r="Z234" i="10" s="1"/>
  <c r="U234" i="10"/>
  <c r="V234" i="10"/>
  <c r="A235" i="10"/>
  <c r="C235" i="10"/>
  <c r="D235" i="10"/>
  <c r="E235" i="10"/>
  <c r="F235" i="10"/>
  <c r="G235" i="10"/>
  <c r="H235" i="10"/>
  <c r="I235" i="10"/>
  <c r="J235" i="10"/>
  <c r="K235" i="10"/>
  <c r="L235" i="10"/>
  <c r="M235" i="10"/>
  <c r="N235" i="10"/>
  <c r="O235" i="10"/>
  <c r="P235" i="10"/>
  <c r="Q235" i="10"/>
  <c r="R235" i="10"/>
  <c r="S235" i="10"/>
  <c r="T235" i="10"/>
  <c r="Z235" i="10" s="1"/>
  <c r="U235" i="10"/>
  <c r="V235" i="10"/>
  <c r="AI235" i="10"/>
  <c r="A236" i="10"/>
  <c r="C236" i="10"/>
  <c r="D236" i="10"/>
  <c r="E236" i="10"/>
  <c r="F236" i="10"/>
  <c r="G236" i="10"/>
  <c r="H236" i="10"/>
  <c r="I236" i="10"/>
  <c r="J236" i="10"/>
  <c r="K236" i="10"/>
  <c r="L236" i="10"/>
  <c r="M236" i="10"/>
  <c r="N236" i="10"/>
  <c r="O236" i="10"/>
  <c r="P236" i="10"/>
  <c r="Q236" i="10"/>
  <c r="AI236" i="10" s="1"/>
  <c r="R236" i="10"/>
  <c r="S236" i="10"/>
  <c r="T236" i="10"/>
  <c r="U236" i="10"/>
  <c r="V236" i="10"/>
  <c r="Z236" i="10"/>
  <c r="A237" i="10"/>
  <c r="C237" i="10"/>
  <c r="D237" i="10"/>
  <c r="E237" i="10"/>
  <c r="F237" i="10"/>
  <c r="G237" i="10"/>
  <c r="H237" i="10"/>
  <c r="I237" i="10"/>
  <c r="J237" i="10"/>
  <c r="K237" i="10"/>
  <c r="L237" i="10"/>
  <c r="M237" i="10"/>
  <c r="N237" i="10"/>
  <c r="O237" i="10"/>
  <c r="P237" i="10"/>
  <c r="Q237" i="10"/>
  <c r="AI237" i="10" s="1"/>
  <c r="R237" i="10"/>
  <c r="S237" i="10"/>
  <c r="T237" i="10"/>
  <c r="Z237" i="10" s="1"/>
  <c r="U237" i="10"/>
  <c r="V237" i="10"/>
  <c r="A238" i="10"/>
  <c r="C238" i="10"/>
  <c r="D238" i="10"/>
  <c r="E238" i="10"/>
  <c r="F238" i="10"/>
  <c r="G238" i="10"/>
  <c r="H238" i="10"/>
  <c r="I238" i="10"/>
  <c r="J238" i="10"/>
  <c r="K238" i="10"/>
  <c r="L238" i="10"/>
  <c r="M238" i="10"/>
  <c r="N238" i="10"/>
  <c r="O238" i="10"/>
  <c r="P238" i="10"/>
  <c r="Q238" i="10"/>
  <c r="R238" i="10"/>
  <c r="S238" i="10"/>
  <c r="T238" i="10"/>
  <c r="Z238" i="10" s="1"/>
  <c r="U238" i="10"/>
  <c r="V238" i="10"/>
  <c r="A239" i="10"/>
  <c r="C239" i="10"/>
  <c r="D239" i="10"/>
  <c r="E239" i="10"/>
  <c r="F239" i="10"/>
  <c r="G239" i="10"/>
  <c r="H239" i="10"/>
  <c r="I239" i="10"/>
  <c r="J239" i="10"/>
  <c r="K239" i="10"/>
  <c r="L239" i="10"/>
  <c r="M239" i="10"/>
  <c r="AI239" i="10" s="1"/>
  <c r="N239" i="10"/>
  <c r="O239" i="10"/>
  <c r="P239" i="10"/>
  <c r="Q239" i="10"/>
  <c r="R239" i="10"/>
  <c r="S239" i="10"/>
  <c r="T239" i="10"/>
  <c r="Z239" i="10" s="1"/>
  <c r="U239" i="10"/>
  <c r="V239" i="10"/>
  <c r="A240" i="10"/>
  <c r="C240" i="10"/>
  <c r="D240" i="10"/>
  <c r="E240" i="10"/>
  <c r="F240" i="10"/>
  <c r="G240" i="10"/>
  <c r="H240" i="10"/>
  <c r="I240" i="10"/>
  <c r="J240" i="10"/>
  <c r="K240" i="10"/>
  <c r="L240" i="10"/>
  <c r="M240" i="10"/>
  <c r="N240" i="10"/>
  <c r="O240" i="10"/>
  <c r="P240" i="10"/>
  <c r="Q240" i="10"/>
  <c r="AI240" i="10" s="1"/>
  <c r="R240" i="10"/>
  <c r="S240" i="10"/>
  <c r="T240" i="10"/>
  <c r="U240" i="10"/>
  <c r="V240" i="10"/>
  <c r="Z240" i="10"/>
  <c r="A241" i="10"/>
  <c r="C241" i="10"/>
  <c r="D241" i="10"/>
  <c r="E241" i="10"/>
  <c r="F241" i="10"/>
  <c r="G241" i="10"/>
  <c r="H241" i="10"/>
  <c r="I241" i="10"/>
  <c r="J241" i="10"/>
  <c r="K241" i="10"/>
  <c r="L241" i="10"/>
  <c r="M241" i="10"/>
  <c r="N241" i="10"/>
  <c r="O241" i="10"/>
  <c r="P241" i="10"/>
  <c r="Q241" i="10"/>
  <c r="AI241" i="10" s="1"/>
  <c r="R241" i="10"/>
  <c r="S241" i="10"/>
  <c r="T241" i="10"/>
  <c r="Z241" i="10" s="1"/>
  <c r="U241" i="10"/>
  <c r="V241" i="10"/>
  <c r="A242" i="10"/>
  <c r="C242" i="10"/>
  <c r="D242" i="10"/>
  <c r="E242" i="10"/>
  <c r="F242" i="10"/>
  <c r="G242" i="10"/>
  <c r="H242" i="10"/>
  <c r="I242" i="10"/>
  <c r="J242" i="10"/>
  <c r="K242" i="10"/>
  <c r="L242" i="10"/>
  <c r="M242" i="10"/>
  <c r="N242" i="10"/>
  <c r="O242" i="10"/>
  <c r="P242" i="10"/>
  <c r="Q242" i="10"/>
  <c r="R242" i="10"/>
  <c r="S242" i="10"/>
  <c r="T242" i="10"/>
  <c r="Z242" i="10" s="1"/>
  <c r="U242" i="10"/>
  <c r="V242" i="10"/>
  <c r="A243" i="10"/>
  <c r="C243" i="10"/>
  <c r="D243" i="10"/>
  <c r="E243" i="10"/>
  <c r="F243" i="10"/>
  <c r="G243" i="10"/>
  <c r="H243" i="10"/>
  <c r="I243" i="10"/>
  <c r="J243" i="10"/>
  <c r="K243" i="10"/>
  <c r="L243" i="10"/>
  <c r="M243" i="10"/>
  <c r="N243" i="10"/>
  <c r="O243" i="10"/>
  <c r="P243" i="10"/>
  <c r="Q243" i="10"/>
  <c r="AI243" i="10" s="1"/>
  <c r="R243" i="10"/>
  <c r="S243" i="10"/>
  <c r="T243" i="10"/>
  <c r="Z243" i="10" s="1"/>
  <c r="U243" i="10"/>
  <c r="V243" i="10"/>
  <c r="A244" i="10"/>
  <c r="C244" i="10"/>
  <c r="D244" i="10"/>
  <c r="E244" i="10"/>
  <c r="F244" i="10"/>
  <c r="G244" i="10"/>
  <c r="H244" i="10"/>
  <c r="I244" i="10"/>
  <c r="J244" i="10"/>
  <c r="K244" i="10"/>
  <c r="L244" i="10"/>
  <c r="M244" i="10"/>
  <c r="N244" i="10"/>
  <c r="O244" i="10"/>
  <c r="P244" i="10"/>
  <c r="Q244" i="10"/>
  <c r="AI244" i="10" s="1"/>
  <c r="R244" i="10"/>
  <c r="S244" i="10"/>
  <c r="T244" i="10"/>
  <c r="Z244" i="10" s="1"/>
  <c r="U244" i="10"/>
  <c r="V244" i="10"/>
  <c r="A245" i="10"/>
  <c r="C245" i="10"/>
  <c r="D245" i="10"/>
  <c r="E245" i="10"/>
  <c r="F245" i="10"/>
  <c r="G245" i="10"/>
  <c r="H245" i="10"/>
  <c r="I245" i="10"/>
  <c r="J245" i="10"/>
  <c r="K245" i="10"/>
  <c r="L245" i="10"/>
  <c r="M245" i="10"/>
  <c r="N245" i="10"/>
  <c r="O245" i="10"/>
  <c r="P245" i="10"/>
  <c r="Q245" i="10"/>
  <c r="R245" i="10"/>
  <c r="S245" i="10"/>
  <c r="T245" i="10"/>
  <c r="Z245" i="10" s="1"/>
  <c r="U245" i="10"/>
  <c r="V245" i="10"/>
  <c r="A246" i="10"/>
  <c r="C246" i="10"/>
  <c r="D246" i="10"/>
  <c r="E246" i="10"/>
  <c r="F246" i="10"/>
  <c r="G246" i="10"/>
  <c r="H246" i="10"/>
  <c r="I246" i="10"/>
  <c r="J246" i="10"/>
  <c r="K246" i="10"/>
  <c r="L246" i="10"/>
  <c r="M246" i="10"/>
  <c r="N246" i="10"/>
  <c r="O246" i="10"/>
  <c r="P246" i="10"/>
  <c r="Q246" i="10"/>
  <c r="AI246" i="10" s="1"/>
  <c r="R246" i="10"/>
  <c r="S246" i="10"/>
  <c r="T246" i="10"/>
  <c r="U246" i="10"/>
  <c r="V246" i="10"/>
  <c r="Z246" i="10"/>
  <c r="A247" i="10"/>
  <c r="C247" i="10"/>
  <c r="D247" i="10"/>
  <c r="E247" i="10"/>
  <c r="F247" i="10"/>
  <c r="G247" i="10"/>
  <c r="H247" i="10"/>
  <c r="I247" i="10"/>
  <c r="J247" i="10"/>
  <c r="K247" i="10"/>
  <c r="L247" i="10"/>
  <c r="M247" i="10"/>
  <c r="N247" i="10"/>
  <c r="O247" i="10"/>
  <c r="P247" i="10"/>
  <c r="Q247" i="10"/>
  <c r="AI247" i="10" s="1"/>
  <c r="R247" i="10"/>
  <c r="S247" i="10"/>
  <c r="T247" i="10"/>
  <c r="Z247" i="10" s="1"/>
  <c r="U247" i="10"/>
  <c r="V247" i="10"/>
  <c r="A248" i="10"/>
  <c r="C248" i="10"/>
  <c r="D248" i="10"/>
  <c r="E248" i="10"/>
  <c r="F248" i="10"/>
  <c r="G248" i="10"/>
  <c r="H248" i="10"/>
  <c r="I248" i="10"/>
  <c r="J248" i="10"/>
  <c r="K248" i="10"/>
  <c r="L248" i="10"/>
  <c r="M248" i="10"/>
  <c r="N248" i="10"/>
  <c r="O248" i="10"/>
  <c r="P248" i="10"/>
  <c r="Q248" i="10"/>
  <c r="R248" i="10"/>
  <c r="S248" i="10"/>
  <c r="T248" i="10"/>
  <c r="Z248" i="10" s="1"/>
  <c r="U248" i="10"/>
  <c r="V248" i="10"/>
  <c r="A249" i="10"/>
  <c r="C249" i="10"/>
  <c r="D249" i="10"/>
  <c r="E249" i="10"/>
  <c r="F249" i="10"/>
  <c r="G249" i="10"/>
  <c r="H249" i="10"/>
  <c r="I249" i="10"/>
  <c r="J249" i="10"/>
  <c r="K249" i="10"/>
  <c r="L249" i="10"/>
  <c r="M249" i="10"/>
  <c r="N249" i="10"/>
  <c r="O249" i="10"/>
  <c r="P249" i="10"/>
  <c r="Q249" i="10"/>
  <c r="R249" i="10"/>
  <c r="S249" i="10"/>
  <c r="T249" i="10"/>
  <c r="Z249" i="10" s="1"/>
  <c r="U249" i="10"/>
  <c r="V249" i="10"/>
  <c r="A250" i="10"/>
  <c r="C250" i="10"/>
  <c r="D250" i="10"/>
  <c r="E250" i="10"/>
  <c r="F250" i="10"/>
  <c r="G250" i="10"/>
  <c r="H250" i="10"/>
  <c r="I250" i="10"/>
  <c r="J250" i="10"/>
  <c r="K250" i="10"/>
  <c r="L250" i="10"/>
  <c r="M250" i="10"/>
  <c r="N250" i="10"/>
  <c r="O250" i="10"/>
  <c r="P250" i="10"/>
  <c r="Q250" i="10"/>
  <c r="AI250" i="10" s="1"/>
  <c r="R250" i="10"/>
  <c r="S250" i="10"/>
  <c r="T250" i="10"/>
  <c r="Z250" i="10" s="1"/>
  <c r="U250" i="10"/>
  <c r="V250" i="10"/>
  <c r="A251" i="10"/>
  <c r="C251" i="10"/>
  <c r="D251" i="10"/>
  <c r="E251" i="10"/>
  <c r="F251" i="10"/>
  <c r="G251" i="10"/>
  <c r="H251" i="10"/>
  <c r="I251" i="10"/>
  <c r="J251" i="10"/>
  <c r="K251" i="10"/>
  <c r="L251" i="10"/>
  <c r="M251" i="10"/>
  <c r="N251" i="10"/>
  <c r="O251" i="10"/>
  <c r="P251" i="10"/>
  <c r="Q251" i="10"/>
  <c r="R251" i="10"/>
  <c r="S251" i="10"/>
  <c r="T251" i="10"/>
  <c r="Z251" i="10" s="1"/>
  <c r="U251" i="10"/>
  <c r="V251" i="10"/>
  <c r="A252" i="10"/>
  <c r="C252" i="10"/>
  <c r="D252" i="10"/>
  <c r="E252" i="10"/>
  <c r="F252" i="10"/>
  <c r="G252" i="10"/>
  <c r="H252" i="10"/>
  <c r="I252" i="10"/>
  <c r="J252" i="10"/>
  <c r="K252" i="10"/>
  <c r="L252" i="10"/>
  <c r="M252" i="10"/>
  <c r="N252" i="10"/>
  <c r="O252" i="10"/>
  <c r="P252" i="10"/>
  <c r="Q252" i="10"/>
  <c r="R252" i="10"/>
  <c r="S252" i="10"/>
  <c r="T252" i="10"/>
  <c r="U252" i="10"/>
  <c r="V252" i="10"/>
  <c r="Z252" i="10"/>
  <c r="A253" i="10"/>
  <c r="C253" i="10"/>
  <c r="D253" i="10"/>
  <c r="E253" i="10"/>
  <c r="F253" i="10"/>
  <c r="G253" i="10"/>
  <c r="H253" i="10"/>
  <c r="I253" i="10"/>
  <c r="J253" i="10"/>
  <c r="K253" i="10"/>
  <c r="L253" i="10"/>
  <c r="M253" i="10"/>
  <c r="N253" i="10"/>
  <c r="O253" i="10"/>
  <c r="P253" i="10"/>
  <c r="Q253" i="10"/>
  <c r="AI253" i="10" s="1"/>
  <c r="R253" i="10"/>
  <c r="S253" i="10"/>
  <c r="T253" i="10"/>
  <c r="Z253" i="10" s="1"/>
  <c r="U253" i="10"/>
  <c r="V253" i="10"/>
  <c r="A254" i="10"/>
  <c r="C254" i="10"/>
  <c r="D254" i="10"/>
  <c r="E254" i="10"/>
  <c r="F254" i="10"/>
  <c r="G254" i="10"/>
  <c r="H254" i="10"/>
  <c r="I254" i="10"/>
  <c r="J254" i="10"/>
  <c r="K254" i="10"/>
  <c r="L254" i="10"/>
  <c r="M254" i="10"/>
  <c r="N254" i="10"/>
  <c r="O254" i="10"/>
  <c r="P254" i="10"/>
  <c r="Q254" i="10"/>
  <c r="R254" i="10"/>
  <c r="S254" i="10"/>
  <c r="T254" i="10"/>
  <c r="Z254" i="10" s="1"/>
  <c r="U254" i="10"/>
  <c r="V254" i="10"/>
  <c r="A255" i="10"/>
  <c r="C255" i="10"/>
  <c r="D255" i="10"/>
  <c r="E255" i="10"/>
  <c r="F255" i="10"/>
  <c r="G255" i="10"/>
  <c r="H255" i="10"/>
  <c r="I255" i="10"/>
  <c r="J255" i="10"/>
  <c r="K255" i="10"/>
  <c r="L255" i="10"/>
  <c r="M255" i="10"/>
  <c r="N255" i="10"/>
  <c r="O255" i="10"/>
  <c r="P255" i="10"/>
  <c r="Q255" i="10"/>
  <c r="AI255" i="10" s="1"/>
  <c r="R255" i="10"/>
  <c r="S255" i="10"/>
  <c r="T255" i="10"/>
  <c r="Z255" i="10" s="1"/>
  <c r="U255" i="10"/>
  <c r="V255" i="10"/>
  <c r="A256" i="10"/>
  <c r="C256" i="10"/>
  <c r="D256" i="10"/>
  <c r="E256" i="10"/>
  <c r="F256" i="10"/>
  <c r="G256" i="10"/>
  <c r="H256" i="10"/>
  <c r="I256" i="10"/>
  <c r="J256" i="10"/>
  <c r="K256" i="10"/>
  <c r="L256" i="10"/>
  <c r="M256" i="10"/>
  <c r="N256" i="10"/>
  <c r="O256" i="10"/>
  <c r="P256" i="10"/>
  <c r="Q256" i="10"/>
  <c r="AI256" i="10" s="1"/>
  <c r="R256" i="10"/>
  <c r="S256" i="10"/>
  <c r="T256" i="10"/>
  <c r="Z256" i="10" s="1"/>
  <c r="U256" i="10"/>
  <c r="V256" i="10"/>
  <c r="A257" i="10"/>
  <c r="C257" i="10"/>
  <c r="D257" i="10"/>
  <c r="E257" i="10"/>
  <c r="F257" i="10"/>
  <c r="G257" i="10"/>
  <c r="H257" i="10"/>
  <c r="I257" i="10"/>
  <c r="J257" i="10"/>
  <c r="K257" i="10"/>
  <c r="L257" i="10"/>
  <c r="M257" i="10"/>
  <c r="N257" i="10"/>
  <c r="O257" i="10"/>
  <c r="P257" i="10"/>
  <c r="Q257" i="10"/>
  <c r="R257" i="10"/>
  <c r="S257" i="10"/>
  <c r="T257" i="10"/>
  <c r="Z257" i="10" s="1"/>
  <c r="U257" i="10"/>
  <c r="V257" i="10"/>
  <c r="A258" i="10"/>
  <c r="C258" i="10"/>
  <c r="D258" i="10"/>
  <c r="E258" i="10"/>
  <c r="F258" i="10"/>
  <c r="G258" i="10"/>
  <c r="H258" i="10"/>
  <c r="I258" i="10"/>
  <c r="J258" i="10"/>
  <c r="K258" i="10"/>
  <c r="L258" i="10"/>
  <c r="M258" i="10"/>
  <c r="N258" i="10"/>
  <c r="O258" i="10"/>
  <c r="P258" i="10"/>
  <c r="Q258" i="10"/>
  <c r="AI258" i="10" s="1"/>
  <c r="R258" i="10"/>
  <c r="S258" i="10"/>
  <c r="T258" i="10"/>
  <c r="Z258" i="10" s="1"/>
  <c r="U258" i="10"/>
  <c r="V258" i="10"/>
  <c r="A259" i="10"/>
  <c r="C259" i="10"/>
  <c r="D259" i="10"/>
  <c r="E259" i="10"/>
  <c r="F259" i="10"/>
  <c r="G259" i="10"/>
  <c r="H259" i="10"/>
  <c r="I259" i="10"/>
  <c r="J259" i="10"/>
  <c r="K259" i="10"/>
  <c r="L259" i="10"/>
  <c r="M259" i="10"/>
  <c r="N259" i="10"/>
  <c r="O259" i="10"/>
  <c r="P259" i="10"/>
  <c r="Q259" i="10"/>
  <c r="AI259" i="10" s="1"/>
  <c r="R259" i="10"/>
  <c r="S259" i="10"/>
  <c r="T259" i="10"/>
  <c r="Z259" i="10" s="1"/>
  <c r="U259" i="10"/>
  <c r="V259" i="10"/>
  <c r="A260" i="10"/>
  <c r="C260" i="10"/>
  <c r="D260" i="10"/>
  <c r="E260" i="10"/>
  <c r="F260" i="10"/>
  <c r="G260" i="10"/>
  <c r="H260" i="10"/>
  <c r="I260" i="10"/>
  <c r="J260" i="10"/>
  <c r="K260" i="10"/>
  <c r="L260" i="10"/>
  <c r="M260" i="10"/>
  <c r="N260" i="10"/>
  <c r="O260" i="10"/>
  <c r="P260" i="10"/>
  <c r="Q260" i="10"/>
  <c r="R260" i="10"/>
  <c r="S260" i="10"/>
  <c r="T260" i="10"/>
  <c r="Z260" i="10" s="1"/>
  <c r="U260" i="10"/>
  <c r="V260" i="10"/>
  <c r="A261" i="10"/>
  <c r="C261" i="10"/>
  <c r="D261" i="10"/>
  <c r="E261" i="10"/>
  <c r="F261" i="10"/>
  <c r="G261" i="10"/>
  <c r="H261" i="10"/>
  <c r="I261" i="10"/>
  <c r="J261" i="10"/>
  <c r="K261" i="10"/>
  <c r="L261" i="10"/>
  <c r="M261" i="10"/>
  <c r="N261" i="10"/>
  <c r="O261" i="10"/>
  <c r="P261" i="10"/>
  <c r="Q261" i="10"/>
  <c r="AI261" i="10" s="1"/>
  <c r="R261" i="10"/>
  <c r="S261" i="10"/>
  <c r="T261" i="10"/>
  <c r="Z261" i="10" s="1"/>
  <c r="U261" i="10"/>
  <c r="V261" i="10"/>
  <c r="A262" i="10"/>
  <c r="C262" i="10"/>
  <c r="D262" i="10"/>
  <c r="E262" i="10"/>
  <c r="F262" i="10"/>
  <c r="G262" i="10"/>
  <c r="H262" i="10"/>
  <c r="I262" i="10"/>
  <c r="J262" i="10"/>
  <c r="K262" i="10"/>
  <c r="L262" i="10"/>
  <c r="M262" i="10"/>
  <c r="N262" i="10"/>
  <c r="O262" i="10"/>
  <c r="P262" i="10"/>
  <c r="Q262" i="10"/>
  <c r="R262" i="10"/>
  <c r="S262" i="10"/>
  <c r="T262" i="10"/>
  <c r="Z262" i="10" s="1"/>
  <c r="U262" i="10"/>
  <c r="V262" i="10"/>
  <c r="AI262" i="10"/>
  <c r="A263" i="10"/>
  <c r="C263" i="10"/>
  <c r="D263" i="10"/>
  <c r="E263" i="10"/>
  <c r="F263" i="10"/>
  <c r="G263" i="10"/>
  <c r="H263" i="10"/>
  <c r="I263" i="10"/>
  <c r="J263" i="10"/>
  <c r="K263" i="10"/>
  <c r="L263" i="10"/>
  <c r="M263" i="10"/>
  <c r="N263" i="10"/>
  <c r="O263" i="10"/>
  <c r="P263" i="10"/>
  <c r="Q263" i="10"/>
  <c r="AI263" i="10" s="1"/>
  <c r="R263" i="10"/>
  <c r="S263" i="10"/>
  <c r="T263" i="10"/>
  <c r="Z263" i="10" s="1"/>
  <c r="U263" i="10"/>
  <c r="V263" i="10"/>
  <c r="A264" i="10"/>
  <c r="C264" i="10"/>
  <c r="D264" i="10"/>
  <c r="E264" i="10"/>
  <c r="F264" i="10"/>
  <c r="G264" i="10"/>
  <c r="H264" i="10"/>
  <c r="I264" i="10"/>
  <c r="J264" i="10"/>
  <c r="K264" i="10"/>
  <c r="L264" i="10"/>
  <c r="M264" i="10"/>
  <c r="N264" i="10"/>
  <c r="O264" i="10"/>
  <c r="P264" i="10"/>
  <c r="Q264" i="10"/>
  <c r="R264" i="10"/>
  <c r="S264" i="10"/>
  <c r="T264" i="10"/>
  <c r="Z264" i="10" s="1"/>
  <c r="U264" i="10"/>
  <c r="V264" i="10"/>
  <c r="AI264" i="10"/>
  <c r="A265" i="10"/>
  <c r="C265" i="10"/>
  <c r="D265" i="10"/>
  <c r="E265" i="10"/>
  <c r="F265" i="10"/>
  <c r="G265" i="10"/>
  <c r="H265" i="10"/>
  <c r="I265" i="10"/>
  <c r="J265" i="10"/>
  <c r="K265" i="10"/>
  <c r="L265" i="10"/>
  <c r="M265" i="10"/>
  <c r="N265" i="10"/>
  <c r="O265" i="10"/>
  <c r="P265" i="10"/>
  <c r="Q265" i="10"/>
  <c r="AI265" i="10" s="1"/>
  <c r="R265" i="10"/>
  <c r="S265" i="10"/>
  <c r="T265" i="10"/>
  <c r="Z265" i="10" s="1"/>
  <c r="U265" i="10"/>
  <c r="V265" i="10"/>
  <c r="A266" i="10"/>
  <c r="C266" i="10"/>
  <c r="D266" i="10"/>
  <c r="E266" i="10"/>
  <c r="F266" i="10"/>
  <c r="G266" i="10"/>
  <c r="H266" i="10"/>
  <c r="I266" i="10"/>
  <c r="J266" i="10"/>
  <c r="K266" i="10"/>
  <c r="L266" i="10"/>
  <c r="M266" i="10"/>
  <c r="N266" i="10"/>
  <c r="O266" i="10"/>
  <c r="P266" i="10"/>
  <c r="Q266" i="10"/>
  <c r="AI266" i="10" s="1"/>
  <c r="R266" i="10"/>
  <c r="S266" i="10"/>
  <c r="T266" i="10"/>
  <c r="Z266" i="10" s="1"/>
  <c r="U266" i="10"/>
  <c r="V266" i="10"/>
  <c r="A267" i="10"/>
  <c r="C267" i="10"/>
  <c r="D267" i="10"/>
  <c r="E267" i="10"/>
  <c r="F267" i="10"/>
  <c r="G267" i="10"/>
  <c r="H267" i="10"/>
  <c r="I267" i="10"/>
  <c r="J267" i="10"/>
  <c r="K267" i="10"/>
  <c r="L267" i="10"/>
  <c r="M267" i="10"/>
  <c r="N267" i="10"/>
  <c r="O267" i="10"/>
  <c r="P267" i="10"/>
  <c r="Q267" i="10"/>
  <c r="R267" i="10"/>
  <c r="S267" i="10"/>
  <c r="T267" i="10"/>
  <c r="Z267" i="10" s="1"/>
  <c r="U267" i="10"/>
  <c r="V267" i="10"/>
  <c r="A268" i="10"/>
  <c r="C268" i="10"/>
  <c r="D268" i="10"/>
  <c r="E268" i="10"/>
  <c r="F268" i="10"/>
  <c r="G268" i="10"/>
  <c r="H268" i="10"/>
  <c r="I268" i="10"/>
  <c r="J268" i="10"/>
  <c r="K268" i="10"/>
  <c r="L268" i="10"/>
  <c r="M268" i="10"/>
  <c r="N268" i="10"/>
  <c r="O268" i="10"/>
  <c r="P268" i="10"/>
  <c r="Q268" i="10"/>
  <c r="R268" i="10"/>
  <c r="S268" i="10"/>
  <c r="T268" i="10"/>
  <c r="U268" i="10"/>
  <c r="V268" i="10"/>
  <c r="Z268" i="10"/>
  <c r="AI268" i="10"/>
  <c r="A269" i="10"/>
  <c r="C269" i="10"/>
  <c r="D269" i="10"/>
  <c r="E269" i="10"/>
  <c r="F269" i="10"/>
  <c r="G269" i="10"/>
  <c r="H269" i="10"/>
  <c r="I269" i="10"/>
  <c r="J269" i="10"/>
  <c r="K269" i="10"/>
  <c r="L269" i="10"/>
  <c r="M269" i="10"/>
  <c r="N269" i="10"/>
  <c r="O269" i="10"/>
  <c r="P269" i="10"/>
  <c r="Q269" i="10"/>
  <c r="AI269" i="10" s="1"/>
  <c r="R269" i="10"/>
  <c r="S269" i="10"/>
  <c r="T269" i="10"/>
  <c r="Z269" i="10" s="1"/>
  <c r="U269" i="10"/>
  <c r="V269" i="10"/>
  <c r="A270" i="10"/>
  <c r="C270" i="10"/>
  <c r="D270" i="10"/>
  <c r="E270" i="10"/>
  <c r="F270" i="10"/>
  <c r="G270" i="10"/>
  <c r="H270" i="10"/>
  <c r="I270" i="10"/>
  <c r="J270" i="10"/>
  <c r="K270" i="10"/>
  <c r="L270" i="10"/>
  <c r="M270" i="10"/>
  <c r="N270" i="10"/>
  <c r="O270" i="10"/>
  <c r="P270" i="10"/>
  <c r="Q270" i="10"/>
  <c r="AI270" i="10" s="1"/>
  <c r="R270" i="10"/>
  <c r="S270" i="10"/>
  <c r="T270" i="10"/>
  <c r="Z270" i="10" s="1"/>
  <c r="U270" i="10"/>
  <c r="V270" i="10"/>
  <c r="A271" i="10"/>
  <c r="C271" i="10"/>
  <c r="D271" i="10"/>
  <c r="E271" i="10"/>
  <c r="F271" i="10"/>
  <c r="G271" i="10"/>
  <c r="H271" i="10"/>
  <c r="I271" i="10"/>
  <c r="J271" i="10"/>
  <c r="K271" i="10"/>
  <c r="L271" i="10"/>
  <c r="M271" i="10"/>
  <c r="N271" i="10"/>
  <c r="O271" i="10"/>
  <c r="P271" i="10"/>
  <c r="Q271" i="10"/>
  <c r="AI271" i="10" s="1"/>
  <c r="R271" i="10"/>
  <c r="S271" i="10"/>
  <c r="T271" i="10"/>
  <c r="Z271" i="10" s="1"/>
  <c r="U271" i="10"/>
  <c r="V271" i="10"/>
  <c r="A272" i="10"/>
  <c r="C272" i="10"/>
  <c r="D272" i="10"/>
  <c r="E272" i="10"/>
  <c r="F272" i="10"/>
  <c r="G272" i="10"/>
  <c r="H272" i="10"/>
  <c r="I272" i="10"/>
  <c r="J272" i="10"/>
  <c r="K272" i="10"/>
  <c r="L272" i="10"/>
  <c r="M272" i="10"/>
  <c r="N272" i="10"/>
  <c r="O272" i="10"/>
  <c r="P272" i="10"/>
  <c r="Q272" i="10"/>
  <c r="AI272" i="10" s="1"/>
  <c r="R272" i="10"/>
  <c r="S272" i="10"/>
  <c r="T272" i="10"/>
  <c r="Z272" i="10" s="1"/>
  <c r="U272" i="10"/>
  <c r="V272" i="10"/>
  <c r="A273" i="10"/>
  <c r="C273" i="10"/>
  <c r="D273" i="10"/>
  <c r="E273" i="10"/>
  <c r="F273" i="10"/>
  <c r="G273" i="10"/>
  <c r="H273" i="10"/>
  <c r="I273" i="10"/>
  <c r="J273" i="10"/>
  <c r="K273" i="10"/>
  <c r="L273" i="10"/>
  <c r="M273" i="10"/>
  <c r="N273" i="10"/>
  <c r="O273" i="10"/>
  <c r="P273" i="10"/>
  <c r="Q273" i="10"/>
  <c r="AI273" i="10" s="1"/>
  <c r="R273" i="10"/>
  <c r="S273" i="10"/>
  <c r="T273" i="10"/>
  <c r="Z273" i="10" s="1"/>
  <c r="U273" i="10"/>
  <c r="V273" i="10"/>
  <c r="A274" i="10"/>
  <c r="C274" i="10"/>
  <c r="D274" i="10"/>
  <c r="E274" i="10"/>
  <c r="F274" i="10"/>
  <c r="G274" i="10"/>
  <c r="H274" i="10"/>
  <c r="I274" i="10"/>
  <c r="J274" i="10"/>
  <c r="K274" i="10"/>
  <c r="L274" i="10"/>
  <c r="M274" i="10"/>
  <c r="N274" i="10"/>
  <c r="O274" i="10"/>
  <c r="P274" i="10"/>
  <c r="Q274" i="10"/>
  <c r="AI274" i="10" s="1"/>
  <c r="R274" i="10"/>
  <c r="S274" i="10"/>
  <c r="T274" i="10"/>
  <c r="Z274" i="10" s="1"/>
  <c r="U274" i="10"/>
  <c r="V274" i="10"/>
  <c r="A275" i="10"/>
  <c r="C275" i="10"/>
  <c r="D275" i="10"/>
  <c r="E275" i="10"/>
  <c r="F275" i="10"/>
  <c r="G275" i="10"/>
  <c r="H275" i="10"/>
  <c r="I275" i="10"/>
  <c r="J275" i="10"/>
  <c r="K275" i="10"/>
  <c r="L275" i="10"/>
  <c r="M275" i="10"/>
  <c r="AI275" i="10" s="1"/>
  <c r="N275" i="10"/>
  <c r="O275" i="10"/>
  <c r="P275" i="10"/>
  <c r="Q275" i="10"/>
  <c r="R275" i="10"/>
  <c r="S275" i="10"/>
  <c r="T275" i="10"/>
  <c r="Z275" i="10" s="1"/>
  <c r="U275" i="10"/>
  <c r="V275" i="10"/>
  <c r="A276" i="10"/>
  <c r="C276" i="10"/>
  <c r="D276" i="10"/>
  <c r="E276" i="10"/>
  <c r="F276" i="10"/>
  <c r="G276" i="10"/>
  <c r="H276" i="10"/>
  <c r="I276" i="10"/>
  <c r="J276" i="10"/>
  <c r="K276" i="10"/>
  <c r="L276" i="10"/>
  <c r="M276" i="10"/>
  <c r="N276" i="10"/>
  <c r="O276" i="10"/>
  <c r="P276" i="10"/>
  <c r="Q276" i="10"/>
  <c r="R276" i="10"/>
  <c r="S276" i="10"/>
  <c r="T276" i="10"/>
  <c r="Z276" i="10" s="1"/>
  <c r="U276" i="10"/>
  <c r="V276" i="10"/>
  <c r="A277" i="10"/>
  <c r="C277" i="10"/>
  <c r="D277" i="10"/>
  <c r="E277" i="10"/>
  <c r="F277" i="10"/>
  <c r="G277" i="10"/>
  <c r="H277" i="10"/>
  <c r="I277" i="10"/>
  <c r="J277" i="10"/>
  <c r="K277" i="10"/>
  <c r="L277" i="10"/>
  <c r="M277" i="10"/>
  <c r="N277" i="10"/>
  <c r="O277" i="10"/>
  <c r="P277" i="10"/>
  <c r="Q277" i="10"/>
  <c r="AI277" i="10" s="1"/>
  <c r="R277" i="10"/>
  <c r="S277" i="10"/>
  <c r="T277" i="10"/>
  <c r="Z277" i="10" s="1"/>
  <c r="U277" i="10"/>
  <c r="V277" i="10"/>
  <c r="A278" i="10"/>
  <c r="C278" i="10"/>
  <c r="D278" i="10"/>
  <c r="E278" i="10"/>
  <c r="F278" i="10"/>
  <c r="G278" i="10"/>
  <c r="H278" i="10"/>
  <c r="I278" i="10"/>
  <c r="J278" i="10"/>
  <c r="K278" i="10"/>
  <c r="L278" i="10"/>
  <c r="M278" i="10"/>
  <c r="N278" i="10"/>
  <c r="O278" i="10"/>
  <c r="P278" i="10"/>
  <c r="Q278" i="10"/>
  <c r="AI278" i="10" s="1"/>
  <c r="R278" i="10"/>
  <c r="S278" i="10"/>
  <c r="T278" i="10"/>
  <c r="Z278" i="10" s="1"/>
  <c r="U278" i="10"/>
  <c r="V278" i="10"/>
  <c r="A279" i="10"/>
  <c r="C279" i="10"/>
  <c r="D279" i="10"/>
  <c r="E279" i="10"/>
  <c r="F279" i="10"/>
  <c r="G279" i="10"/>
  <c r="H279" i="10"/>
  <c r="I279" i="10"/>
  <c r="J279" i="10"/>
  <c r="K279" i="10"/>
  <c r="L279" i="10"/>
  <c r="M279" i="10"/>
  <c r="N279" i="10"/>
  <c r="O279" i="10"/>
  <c r="P279" i="10"/>
  <c r="Q279" i="10"/>
  <c r="AI279" i="10" s="1"/>
  <c r="R279" i="10"/>
  <c r="S279" i="10"/>
  <c r="T279" i="10"/>
  <c r="Z279" i="10" s="1"/>
  <c r="U279" i="10"/>
  <c r="V279" i="10"/>
  <c r="A280" i="10"/>
  <c r="C280" i="10"/>
  <c r="D280" i="10"/>
  <c r="E280" i="10"/>
  <c r="F280" i="10"/>
  <c r="G280" i="10"/>
  <c r="H280" i="10"/>
  <c r="I280" i="10"/>
  <c r="J280" i="10"/>
  <c r="K280" i="10"/>
  <c r="L280" i="10"/>
  <c r="M280" i="10"/>
  <c r="N280" i="10"/>
  <c r="O280" i="10"/>
  <c r="P280" i="10"/>
  <c r="Q280" i="10"/>
  <c r="AI280" i="10" s="1"/>
  <c r="R280" i="10"/>
  <c r="S280" i="10"/>
  <c r="T280" i="10"/>
  <c r="U280" i="10"/>
  <c r="V280" i="10"/>
  <c r="Z280" i="10"/>
  <c r="A281" i="10"/>
  <c r="C281" i="10"/>
  <c r="D281" i="10"/>
  <c r="E281" i="10"/>
  <c r="F281" i="10"/>
  <c r="G281" i="10"/>
  <c r="H281" i="10"/>
  <c r="I281" i="10"/>
  <c r="J281" i="10"/>
  <c r="K281" i="10"/>
  <c r="L281" i="10"/>
  <c r="M281" i="10"/>
  <c r="N281" i="10"/>
  <c r="O281" i="10"/>
  <c r="P281" i="10"/>
  <c r="Q281" i="10"/>
  <c r="R281" i="10"/>
  <c r="S281" i="10"/>
  <c r="T281" i="10"/>
  <c r="Z281" i="10" s="1"/>
  <c r="U281" i="10"/>
  <c r="V281" i="10"/>
  <c r="A282" i="10"/>
  <c r="C282" i="10"/>
  <c r="D282" i="10"/>
  <c r="E282" i="10"/>
  <c r="F282" i="10"/>
  <c r="G282" i="10"/>
  <c r="H282" i="10"/>
  <c r="I282" i="10"/>
  <c r="J282" i="10"/>
  <c r="K282" i="10"/>
  <c r="L282" i="10"/>
  <c r="M282" i="10"/>
  <c r="AI282" i="10" s="1"/>
  <c r="N282" i="10"/>
  <c r="O282" i="10"/>
  <c r="P282" i="10"/>
  <c r="Q282" i="10"/>
  <c r="R282" i="10"/>
  <c r="S282" i="10"/>
  <c r="T282" i="10"/>
  <c r="Z282" i="10" s="1"/>
  <c r="U282" i="10"/>
  <c r="V282" i="10"/>
  <c r="A283" i="10"/>
  <c r="C283" i="10"/>
  <c r="D283" i="10"/>
  <c r="E283" i="10"/>
  <c r="F283" i="10"/>
  <c r="G283" i="10"/>
  <c r="H283" i="10"/>
  <c r="I283" i="10"/>
  <c r="J283" i="10"/>
  <c r="K283" i="10"/>
  <c r="L283" i="10"/>
  <c r="M283" i="10"/>
  <c r="N283" i="10"/>
  <c r="O283" i="10"/>
  <c r="P283" i="10"/>
  <c r="Q283" i="10"/>
  <c r="AI283" i="10" s="1"/>
  <c r="R283" i="10"/>
  <c r="S283" i="10"/>
  <c r="T283" i="10"/>
  <c r="Z283" i="10" s="1"/>
  <c r="U283" i="10"/>
  <c r="V283" i="10"/>
  <c r="A284" i="10"/>
  <c r="C284" i="10"/>
  <c r="D284" i="10"/>
  <c r="E284" i="10"/>
  <c r="F284" i="10"/>
  <c r="G284" i="10"/>
  <c r="H284" i="10"/>
  <c r="I284" i="10"/>
  <c r="J284" i="10"/>
  <c r="K284" i="10"/>
  <c r="L284" i="10"/>
  <c r="M284" i="10"/>
  <c r="N284" i="10"/>
  <c r="O284" i="10"/>
  <c r="P284" i="10"/>
  <c r="Q284" i="10"/>
  <c r="AI284" i="10" s="1"/>
  <c r="R284" i="10"/>
  <c r="S284" i="10"/>
  <c r="T284" i="10"/>
  <c r="U284" i="10"/>
  <c r="V284" i="10"/>
  <c r="Z284" i="10"/>
  <c r="A285" i="10"/>
  <c r="C285" i="10"/>
  <c r="D285" i="10"/>
  <c r="E285" i="10"/>
  <c r="F285" i="10"/>
  <c r="G285" i="10"/>
  <c r="H285" i="10"/>
  <c r="I285" i="10"/>
  <c r="J285" i="10"/>
  <c r="K285" i="10"/>
  <c r="L285" i="10"/>
  <c r="M285" i="10"/>
  <c r="N285" i="10"/>
  <c r="O285" i="10"/>
  <c r="P285" i="10"/>
  <c r="Q285" i="10"/>
  <c r="R285" i="10"/>
  <c r="S285" i="10"/>
  <c r="T285" i="10"/>
  <c r="Z285" i="10" s="1"/>
  <c r="U285" i="10"/>
  <c r="V285" i="10"/>
  <c r="A286" i="10"/>
  <c r="C286" i="10"/>
  <c r="D286" i="10"/>
  <c r="E286" i="10"/>
  <c r="F286" i="10"/>
  <c r="G286" i="10"/>
  <c r="H286" i="10"/>
  <c r="I286" i="10"/>
  <c r="J286" i="10"/>
  <c r="K286" i="10"/>
  <c r="L286" i="10"/>
  <c r="M286" i="10"/>
  <c r="AI286" i="10" s="1"/>
  <c r="N286" i="10"/>
  <c r="O286" i="10"/>
  <c r="P286" i="10"/>
  <c r="Q286" i="10"/>
  <c r="R286" i="10"/>
  <c r="S286" i="10"/>
  <c r="T286" i="10"/>
  <c r="Z286" i="10" s="1"/>
  <c r="U286" i="10"/>
  <c r="V286" i="10"/>
  <c r="A287" i="10"/>
  <c r="C287" i="10"/>
  <c r="D287" i="10"/>
  <c r="E287" i="10"/>
  <c r="F287" i="10"/>
  <c r="G287" i="10"/>
  <c r="H287" i="10"/>
  <c r="I287" i="10"/>
  <c r="J287" i="10"/>
  <c r="K287" i="10"/>
  <c r="L287" i="10"/>
  <c r="M287" i="10"/>
  <c r="N287" i="10"/>
  <c r="O287" i="10"/>
  <c r="P287" i="10"/>
  <c r="Q287" i="10"/>
  <c r="AI287" i="10" s="1"/>
  <c r="R287" i="10"/>
  <c r="S287" i="10"/>
  <c r="T287" i="10"/>
  <c r="Z287" i="10" s="1"/>
  <c r="U287" i="10"/>
  <c r="V287" i="10"/>
  <c r="A288" i="10"/>
  <c r="C288" i="10"/>
  <c r="D288" i="10"/>
  <c r="E288" i="10"/>
  <c r="F288" i="10"/>
  <c r="G288" i="10"/>
  <c r="H288" i="10"/>
  <c r="I288" i="10"/>
  <c r="J288" i="10"/>
  <c r="K288" i="10"/>
  <c r="L288" i="10"/>
  <c r="M288" i="10"/>
  <c r="N288" i="10"/>
  <c r="O288" i="10"/>
  <c r="P288" i="10"/>
  <c r="Q288" i="10"/>
  <c r="AI288" i="10" s="1"/>
  <c r="R288" i="10"/>
  <c r="S288" i="10"/>
  <c r="T288" i="10"/>
  <c r="U288" i="10"/>
  <c r="V288" i="10"/>
  <c r="Z288" i="10"/>
  <c r="A289" i="10"/>
  <c r="C289" i="10"/>
  <c r="D289" i="10"/>
  <c r="E289" i="10"/>
  <c r="F289" i="10"/>
  <c r="G289" i="10"/>
  <c r="H289" i="10"/>
  <c r="I289" i="10"/>
  <c r="J289" i="10"/>
  <c r="K289" i="10"/>
  <c r="L289" i="10"/>
  <c r="M289" i="10"/>
  <c r="N289" i="10"/>
  <c r="O289" i="10"/>
  <c r="P289" i="10"/>
  <c r="Q289" i="10"/>
  <c r="R289" i="10"/>
  <c r="S289" i="10"/>
  <c r="T289" i="10"/>
  <c r="Z289" i="10" s="1"/>
  <c r="U289" i="10"/>
  <c r="V289" i="10"/>
  <c r="AI289" i="10"/>
  <c r="A290" i="10"/>
  <c r="C290" i="10"/>
  <c r="D290" i="10"/>
  <c r="E290" i="10"/>
  <c r="F290" i="10"/>
  <c r="G290" i="10"/>
  <c r="H290" i="10"/>
  <c r="I290" i="10"/>
  <c r="J290" i="10"/>
  <c r="K290" i="10"/>
  <c r="L290" i="10"/>
  <c r="M290" i="10"/>
  <c r="N290" i="10"/>
  <c r="O290" i="10"/>
  <c r="P290" i="10"/>
  <c r="Q290" i="10"/>
  <c r="AI290" i="10" s="1"/>
  <c r="R290" i="10"/>
  <c r="S290" i="10"/>
  <c r="T290" i="10"/>
  <c r="Z290" i="10" s="1"/>
  <c r="U290" i="10"/>
  <c r="V290" i="10"/>
  <c r="A291" i="10"/>
  <c r="C291" i="10"/>
  <c r="D291" i="10"/>
  <c r="E291" i="10"/>
  <c r="F291" i="10"/>
  <c r="G291" i="10"/>
  <c r="H291" i="10"/>
  <c r="I291" i="10"/>
  <c r="J291" i="10"/>
  <c r="K291" i="10"/>
  <c r="L291" i="10"/>
  <c r="M291" i="10"/>
  <c r="N291" i="10"/>
  <c r="O291" i="10"/>
  <c r="P291" i="10"/>
  <c r="Q291" i="10"/>
  <c r="AI291" i="10" s="1"/>
  <c r="R291" i="10"/>
  <c r="S291" i="10"/>
  <c r="T291" i="10"/>
  <c r="Z291" i="10" s="1"/>
  <c r="U291" i="10"/>
  <c r="V291" i="10"/>
  <c r="A292" i="10"/>
  <c r="C292" i="10"/>
  <c r="D292" i="10"/>
  <c r="E292" i="10"/>
  <c r="F292" i="10"/>
  <c r="G292" i="10"/>
  <c r="H292" i="10"/>
  <c r="I292" i="10"/>
  <c r="J292" i="10"/>
  <c r="K292" i="10"/>
  <c r="L292" i="10"/>
  <c r="M292" i="10"/>
  <c r="N292" i="10"/>
  <c r="O292" i="10"/>
  <c r="P292" i="10"/>
  <c r="Q292" i="10"/>
  <c r="R292" i="10"/>
  <c r="S292" i="10"/>
  <c r="T292" i="10"/>
  <c r="U292" i="10"/>
  <c r="V292" i="10"/>
  <c r="Z292" i="10"/>
  <c r="A293" i="10"/>
  <c r="C293" i="10"/>
  <c r="D293" i="10"/>
  <c r="E293" i="10"/>
  <c r="F293" i="10"/>
  <c r="G293" i="10"/>
  <c r="H293" i="10"/>
  <c r="I293" i="10"/>
  <c r="J293" i="10"/>
  <c r="K293" i="10"/>
  <c r="L293" i="10"/>
  <c r="M293" i="10"/>
  <c r="N293" i="10"/>
  <c r="O293" i="10"/>
  <c r="P293" i="10"/>
  <c r="Q293" i="10"/>
  <c r="AI293" i="10" s="1"/>
  <c r="R293" i="10"/>
  <c r="S293" i="10"/>
  <c r="T293" i="10"/>
  <c r="Z293" i="10" s="1"/>
  <c r="U293" i="10"/>
  <c r="V293" i="10"/>
  <c r="A294" i="10"/>
  <c r="C294" i="10"/>
  <c r="D294" i="10"/>
  <c r="E294" i="10"/>
  <c r="F294" i="10"/>
  <c r="G294" i="10"/>
  <c r="H294" i="10"/>
  <c r="I294" i="10"/>
  <c r="J294" i="10"/>
  <c r="K294" i="10"/>
  <c r="L294" i="10"/>
  <c r="M294" i="10"/>
  <c r="N294" i="10"/>
  <c r="O294" i="10"/>
  <c r="P294" i="10"/>
  <c r="Q294" i="10"/>
  <c r="AI294" i="10" s="1"/>
  <c r="R294" i="10"/>
  <c r="S294" i="10"/>
  <c r="T294" i="10"/>
  <c r="Z294" i="10" s="1"/>
  <c r="U294" i="10"/>
  <c r="V294" i="10"/>
  <c r="A295" i="10"/>
  <c r="C295" i="10"/>
  <c r="D295" i="10"/>
  <c r="E295" i="10"/>
  <c r="F295" i="10"/>
  <c r="G295" i="10"/>
  <c r="H295" i="10"/>
  <c r="I295" i="10"/>
  <c r="J295" i="10"/>
  <c r="K295" i="10"/>
  <c r="L295" i="10"/>
  <c r="M295" i="10"/>
  <c r="N295" i="10"/>
  <c r="O295" i="10"/>
  <c r="P295" i="10"/>
  <c r="Q295" i="10"/>
  <c r="AI295" i="10" s="1"/>
  <c r="R295" i="10"/>
  <c r="S295" i="10"/>
  <c r="T295" i="10"/>
  <c r="Z295" i="10" s="1"/>
  <c r="U295" i="10"/>
  <c r="V295" i="10"/>
  <c r="A296" i="10"/>
  <c r="C296" i="10"/>
  <c r="D296" i="10"/>
  <c r="E296" i="10"/>
  <c r="F296" i="10"/>
  <c r="G296" i="10"/>
  <c r="H296" i="10"/>
  <c r="I296" i="10"/>
  <c r="J296" i="10"/>
  <c r="K296" i="10"/>
  <c r="L296" i="10"/>
  <c r="M296" i="10"/>
  <c r="N296" i="10"/>
  <c r="O296" i="10"/>
  <c r="P296" i="10"/>
  <c r="Q296" i="10"/>
  <c r="AI296" i="10" s="1"/>
  <c r="R296" i="10"/>
  <c r="S296" i="10"/>
  <c r="T296" i="10"/>
  <c r="Z296" i="10" s="1"/>
  <c r="U296" i="10"/>
  <c r="V296" i="10"/>
  <c r="A297" i="10"/>
  <c r="C297" i="10"/>
  <c r="D297" i="10"/>
  <c r="E297" i="10"/>
  <c r="F297" i="10"/>
  <c r="G297" i="10"/>
  <c r="H297" i="10"/>
  <c r="I297" i="10"/>
  <c r="J297" i="10"/>
  <c r="K297" i="10"/>
  <c r="L297" i="10"/>
  <c r="M297" i="10"/>
  <c r="N297" i="10"/>
  <c r="O297" i="10"/>
  <c r="P297" i="10"/>
  <c r="Q297" i="10"/>
  <c r="R297" i="10"/>
  <c r="S297" i="10"/>
  <c r="T297" i="10"/>
  <c r="Z297" i="10" s="1"/>
  <c r="U297" i="10"/>
  <c r="V297" i="10"/>
  <c r="A298" i="10"/>
  <c r="C298" i="10"/>
  <c r="D298" i="10"/>
  <c r="E298" i="10"/>
  <c r="F298" i="10"/>
  <c r="G298" i="10"/>
  <c r="H298" i="10"/>
  <c r="I298" i="10"/>
  <c r="J298" i="10"/>
  <c r="K298" i="10"/>
  <c r="L298" i="10"/>
  <c r="M298" i="10"/>
  <c r="N298" i="10"/>
  <c r="O298" i="10"/>
  <c r="P298" i="10"/>
  <c r="Q298" i="10"/>
  <c r="AI298" i="10" s="1"/>
  <c r="R298" i="10"/>
  <c r="S298" i="10"/>
  <c r="T298" i="10"/>
  <c r="Z298" i="10" s="1"/>
  <c r="U298" i="10"/>
  <c r="V298" i="10"/>
  <c r="A299" i="10"/>
  <c r="C299" i="10"/>
  <c r="D299" i="10"/>
  <c r="E299" i="10"/>
  <c r="F299" i="10"/>
  <c r="G299" i="10"/>
  <c r="H299" i="10"/>
  <c r="I299" i="10"/>
  <c r="J299" i="10"/>
  <c r="K299" i="10"/>
  <c r="L299" i="10"/>
  <c r="M299" i="10"/>
  <c r="N299" i="10"/>
  <c r="O299" i="10"/>
  <c r="P299" i="10"/>
  <c r="Q299" i="10"/>
  <c r="AI299" i="10" s="1"/>
  <c r="R299" i="10"/>
  <c r="S299" i="10"/>
  <c r="T299" i="10"/>
  <c r="U299" i="10"/>
  <c r="V299" i="10"/>
  <c r="Z299" i="10"/>
  <c r="A300" i="10"/>
  <c r="C300" i="10"/>
  <c r="D300" i="10"/>
  <c r="E300" i="10"/>
  <c r="F300" i="10"/>
  <c r="G300" i="10"/>
  <c r="H300" i="10"/>
  <c r="I300" i="10"/>
  <c r="J300" i="10"/>
  <c r="K300" i="10"/>
  <c r="L300" i="10"/>
  <c r="M300" i="10"/>
  <c r="N300" i="10"/>
  <c r="O300" i="10"/>
  <c r="P300" i="10"/>
  <c r="Q300" i="10"/>
  <c r="R300" i="10"/>
  <c r="S300" i="10"/>
  <c r="T300" i="10"/>
  <c r="Z300" i="10" s="1"/>
  <c r="U300" i="10"/>
  <c r="V300" i="10"/>
  <c r="A301" i="10"/>
  <c r="C301" i="10"/>
  <c r="D301" i="10"/>
  <c r="E301" i="10"/>
  <c r="F301" i="10"/>
  <c r="G301" i="10"/>
  <c r="H301" i="10"/>
  <c r="I301" i="10"/>
  <c r="J301" i="10"/>
  <c r="K301" i="10"/>
  <c r="L301" i="10"/>
  <c r="M301" i="10"/>
  <c r="N301" i="10"/>
  <c r="O301" i="10"/>
  <c r="P301" i="10"/>
  <c r="Q301" i="10"/>
  <c r="AI301" i="10" s="1"/>
  <c r="R301" i="10"/>
  <c r="S301" i="10"/>
  <c r="T301" i="10"/>
  <c r="Z301" i="10" s="1"/>
  <c r="U301" i="10"/>
  <c r="V301" i="10"/>
  <c r="A302" i="10"/>
  <c r="C302" i="10"/>
  <c r="D302" i="10"/>
  <c r="E302" i="10"/>
  <c r="F302" i="10"/>
  <c r="G302" i="10"/>
  <c r="H302" i="10"/>
  <c r="I302" i="10"/>
  <c r="J302" i="10"/>
  <c r="K302" i="10"/>
  <c r="L302" i="10"/>
  <c r="M302" i="10"/>
  <c r="N302" i="10"/>
  <c r="O302" i="10"/>
  <c r="P302" i="10"/>
  <c r="Q302" i="10"/>
  <c r="AI302" i="10" s="1"/>
  <c r="R302" i="10"/>
  <c r="S302" i="10"/>
  <c r="T302" i="10"/>
  <c r="Z302" i="10" s="1"/>
  <c r="U302" i="10"/>
  <c r="V302" i="10"/>
  <c r="A303" i="10"/>
  <c r="C303" i="10"/>
  <c r="D303" i="10"/>
  <c r="E303" i="10"/>
  <c r="F303" i="10"/>
  <c r="G303" i="10"/>
  <c r="H303" i="10"/>
  <c r="I303" i="10"/>
  <c r="J303" i="10"/>
  <c r="K303" i="10"/>
  <c r="L303" i="10"/>
  <c r="M303" i="10"/>
  <c r="N303" i="10"/>
  <c r="O303" i="10"/>
  <c r="P303" i="10"/>
  <c r="Q303" i="10"/>
  <c r="R303" i="10"/>
  <c r="S303" i="10"/>
  <c r="T303" i="10"/>
  <c r="Z303" i="10" s="1"/>
  <c r="U303" i="10"/>
  <c r="V303" i="10"/>
  <c r="A304" i="10"/>
  <c r="C304" i="10"/>
  <c r="D304" i="10"/>
  <c r="E304" i="10"/>
  <c r="F304" i="10"/>
  <c r="G304" i="10"/>
  <c r="H304" i="10"/>
  <c r="I304" i="10"/>
  <c r="J304" i="10"/>
  <c r="K304" i="10"/>
  <c r="L304" i="10"/>
  <c r="M304" i="10"/>
  <c r="N304" i="10"/>
  <c r="O304" i="10"/>
  <c r="P304" i="10"/>
  <c r="Q304" i="10"/>
  <c r="R304" i="10"/>
  <c r="S304" i="10"/>
  <c r="T304" i="10"/>
  <c r="Z304" i="10" s="1"/>
  <c r="U304" i="10"/>
  <c r="V304" i="10"/>
  <c r="AI304" i="10"/>
  <c r="A305" i="10"/>
  <c r="C305" i="10"/>
  <c r="D305" i="10"/>
  <c r="E305" i="10"/>
  <c r="F305" i="10"/>
  <c r="G305" i="10"/>
  <c r="H305" i="10"/>
  <c r="I305" i="10"/>
  <c r="J305" i="10"/>
  <c r="K305" i="10"/>
  <c r="L305" i="10"/>
  <c r="M305" i="10"/>
  <c r="N305" i="10"/>
  <c r="O305" i="10"/>
  <c r="P305" i="10"/>
  <c r="Q305" i="10"/>
  <c r="AI305" i="10" s="1"/>
  <c r="R305" i="10"/>
  <c r="S305" i="10"/>
  <c r="T305" i="10"/>
  <c r="Z305" i="10" s="1"/>
  <c r="U305" i="10"/>
  <c r="V305" i="10"/>
  <c r="A306" i="10"/>
  <c r="C306" i="10"/>
  <c r="D306" i="10"/>
  <c r="E306" i="10"/>
  <c r="F306" i="10"/>
  <c r="G306" i="10"/>
  <c r="H306" i="10"/>
  <c r="I306" i="10"/>
  <c r="J306" i="10"/>
  <c r="K306" i="10"/>
  <c r="L306" i="10"/>
  <c r="M306" i="10"/>
  <c r="N306" i="10"/>
  <c r="O306" i="10"/>
  <c r="P306" i="10"/>
  <c r="Q306" i="10"/>
  <c r="R306" i="10"/>
  <c r="S306" i="10"/>
  <c r="T306" i="10"/>
  <c r="Z306" i="10" s="1"/>
  <c r="U306" i="10"/>
  <c r="V306" i="10"/>
  <c r="A307" i="10"/>
  <c r="C307" i="10"/>
  <c r="D307" i="10"/>
  <c r="E307" i="10"/>
  <c r="F307" i="10"/>
  <c r="G307" i="10"/>
  <c r="H307" i="10"/>
  <c r="I307" i="10"/>
  <c r="J307" i="10"/>
  <c r="K307" i="10"/>
  <c r="L307" i="10"/>
  <c r="M307" i="10"/>
  <c r="N307" i="10"/>
  <c r="O307" i="10"/>
  <c r="P307" i="10"/>
  <c r="Q307" i="10"/>
  <c r="R307" i="10"/>
  <c r="S307" i="10"/>
  <c r="T307" i="10"/>
  <c r="Z307" i="10" s="1"/>
  <c r="U307" i="10"/>
  <c r="V307" i="10"/>
  <c r="A308" i="10"/>
  <c r="C308" i="10"/>
  <c r="D308" i="10"/>
  <c r="E308" i="10"/>
  <c r="F308" i="10"/>
  <c r="G308" i="10"/>
  <c r="H308" i="10"/>
  <c r="I308" i="10"/>
  <c r="J308" i="10"/>
  <c r="K308" i="10"/>
  <c r="L308" i="10"/>
  <c r="M308" i="10"/>
  <c r="N308" i="10"/>
  <c r="O308" i="10"/>
  <c r="P308" i="10"/>
  <c r="Q308" i="10"/>
  <c r="R308" i="10"/>
  <c r="S308" i="10"/>
  <c r="T308" i="10"/>
  <c r="Z308" i="10" s="1"/>
  <c r="U308" i="10"/>
  <c r="V308" i="10"/>
  <c r="A309" i="10"/>
  <c r="C309" i="10"/>
  <c r="D309" i="10"/>
  <c r="E309" i="10"/>
  <c r="F309" i="10"/>
  <c r="G309" i="10"/>
  <c r="H309" i="10"/>
  <c r="I309" i="10"/>
  <c r="J309" i="10"/>
  <c r="K309" i="10"/>
  <c r="L309" i="10"/>
  <c r="M309" i="10"/>
  <c r="N309" i="10"/>
  <c r="O309" i="10"/>
  <c r="P309" i="10"/>
  <c r="Q309" i="10"/>
  <c r="R309" i="10"/>
  <c r="S309" i="10"/>
  <c r="T309" i="10"/>
  <c r="Z309" i="10" s="1"/>
  <c r="U309" i="10"/>
  <c r="V309" i="10"/>
  <c r="A310" i="10"/>
  <c r="C310" i="10"/>
  <c r="D310" i="10"/>
  <c r="E310" i="10"/>
  <c r="F310" i="10"/>
  <c r="G310" i="10"/>
  <c r="H310" i="10"/>
  <c r="I310" i="10"/>
  <c r="J310" i="10"/>
  <c r="K310" i="10"/>
  <c r="L310" i="10"/>
  <c r="M310" i="10"/>
  <c r="N310" i="10"/>
  <c r="O310" i="10"/>
  <c r="P310" i="10"/>
  <c r="Q310" i="10"/>
  <c r="AI310" i="10" s="1"/>
  <c r="R310" i="10"/>
  <c r="S310" i="10"/>
  <c r="T310" i="10"/>
  <c r="Z310" i="10" s="1"/>
  <c r="U310" i="10"/>
  <c r="V310" i="10"/>
  <c r="A311" i="10"/>
  <c r="C311" i="10"/>
  <c r="D311" i="10"/>
  <c r="E311" i="10"/>
  <c r="F311" i="10"/>
  <c r="G311" i="10"/>
  <c r="H311" i="10"/>
  <c r="I311" i="10"/>
  <c r="J311" i="10"/>
  <c r="K311" i="10"/>
  <c r="L311" i="10"/>
  <c r="M311" i="10"/>
  <c r="N311" i="10"/>
  <c r="O311" i="10"/>
  <c r="P311" i="10"/>
  <c r="Q311" i="10"/>
  <c r="R311" i="10"/>
  <c r="S311" i="10"/>
  <c r="T311" i="10"/>
  <c r="U311" i="10"/>
  <c r="V311" i="10"/>
  <c r="Z311" i="10"/>
  <c r="A312" i="10"/>
  <c r="C312" i="10"/>
  <c r="D312" i="10"/>
  <c r="E312" i="10"/>
  <c r="F312" i="10"/>
  <c r="G312" i="10"/>
  <c r="H312" i="10"/>
  <c r="I312" i="10"/>
  <c r="J312" i="10"/>
  <c r="K312" i="10"/>
  <c r="L312" i="10"/>
  <c r="M312" i="10"/>
  <c r="N312" i="10"/>
  <c r="O312" i="10"/>
  <c r="P312" i="10"/>
  <c r="Q312" i="10"/>
  <c r="AI312" i="10" s="1"/>
  <c r="R312" i="10"/>
  <c r="S312" i="10"/>
  <c r="T312" i="10"/>
  <c r="Z312" i="10" s="1"/>
  <c r="U312" i="10"/>
  <c r="V312" i="10"/>
  <c r="A313" i="10"/>
  <c r="C313" i="10"/>
  <c r="D313" i="10"/>
  <c r="E313" i="10"/>
  <c r="F313" i="10"/>
  <c r="G313" i="10"/>
  <c r="H313" i="10"/>
  <c r="I313" i="10"/>
  <c r="J313" i="10"/>
  <c r="K313" i="10"/>
  <c r="L313" i="10"/>
  <c r="M313" i="10"/>
  <c r="N313" i="10"/>
  <c r="O313" i="10"/>
  <c r="P313" i="10"/>
  <c r="Q313" i="10"/>
  <c r="AI313" i="10" s="1"/>
  <c r="R313" i="10"/>
  <c r="S313" i="10"/>
  <c r="T313" i="10"/>
  <c r="Z313" i="10" s="1"/>
  <c r="U313" i="10"/>
  <c r="V313" i="10"/>
  <c r="A314" i="10"/>
  <c r="C314" i="10"/>
  <c r="D314" i="10"/>
  <c r="E314" i="10"/>
  <c r="F314" i="10"/>
  <c r="G314" i="10"/>
  <c r="H314" i="10"/>
  <c r="I314" i="10"/>
  <c r="J314" i="10"/>
  <c r="K314" i="10"/>
  <c r="L314" i="10"/>
  <c r="M314" i="10"/>
  <c r="N314" i="10"/>
  <c r="O314" i="10"/>
  <c r="P314" i="10"/>
  <c r="Q314" i="10"/>
  <c r="AI314" i="10" s="1"/>
  <c r="R314" i="10"/>
  <c r="S314" i="10"/>
  <c r="T314" i="10"/>
  <c r="Z314" i="10" s="1"/>
  <c r="U314" i="10"/>
  <c r="V314" i="10"/>
  <c r="A315" i="10"/>
  <c r="C315" i="10"/>
  <c r="D315" i="10"/>
  <c r="E315" i="10"/>
  <c r="F315" i="10"/>
  <c r="G315" i="10"/>
  <c r="H315" i="10"/>
  <c r="I315" i="10"/>
  <c r="J315" i="10"/>
  <c r="K315" i="10"/>
  <c r="L315" i="10"/>
  <c r="M315" i="10"/>
  <c r="N315" i="10"/>
  <c r="O315" i="10"/>
  <c r="P315" i="10"/>
  <c r="Q315" i="10"/>
  <c r="R315" i="10"/>
  <c r="S315" i="10"/>
  <c r="T315" i="10"/>
  <c r="U315" i="10"/>
  <c r="V315" i="10"/>
  <c r="Z315" i="10"/>
  <c r="A316" i="10"/>
  <c r="C316" i="10"/>
  <c r="D316" i="10"/>
  <c r="E316" i="10"/>
  <c r="F316" i="10"/>
  <c r="G316" i="10"/>
  <c r="H316" i="10"/>
  <c r="I316" i="10"/>
  <c r="J316" i="10"/>
  <c r="K316" i="10"/>
  <c r="L316" i="10"/>
  <c r="M316" i="10"/>
  <c r="N316" i="10"/>
  <c r="O316" i="10"/>
  <c r="P316" i="10"/>
  <c r="Q316" i="10"/>
  <c r="AI316" i="10" s="1"/>
  <c r="R316" i="10"/>
  <c r="S316" i="10"/>
  <c r="T316" i="10"/>
  <c r="Z316" i="10" s="1"/>
  <c r="U316" i="10"/>
  <c r="V316" i="10"/>
  <c r="A317" i="10"/>
  <c r="C317" i="10"/>
  <c r="D317" i="10"/>
  <c r="E317" i="10"/>
  <c r="F317" i="10"/>
  <c r="G317" i="10"/>
  <c r="H317" i="10"/>
  <c r="I317" i="10"/>
  <c r="J317" i="10"/>
  <c r="K317" i="10"/>
  <c r="L317" i="10"/>
  <c r="M317" i="10"/>
  <c r="N317" i="10"/>
  <c r="O317" i="10"/>
  <c r="P317" i="10"/>
  <c r="Q317" i="10"/>
  <c r="AI317" i="10" s="1"/>
  <c r="R317" i="10"/>
  <c r="S317" i="10"/>
  <c r="T317" i="10"/>
  <c r="Z317" i="10" s="1"/>
  <c r="U317" i="10"/>
  <c r="V317" i="10"/>
  <c r="A318" i="10"/>
  <c r="C318" i="10"/>
  <c r="D318" i="10"/>
  <c r="E318" i="10"/>
  <c r="F318" i="10"/>
  <c r="G318" i="10"/>
  <c r="H318" i="10"/>
  <c r="I318" i="10"/>
  <c r="J318" i="10"/>
  <c r="K318" i="10"/>
  <c r="L318" i="10"/>
  <c r="M318" i="10"/>
  <c r="N318" i="10"/>
  <c r="O318" i="10"/>
  <c r="P318" i="10"/>
  <c r="Q318" i="10"/>
  <c r="AI318" i="10" s="1"/>
  <c r="R318" i="10"/>
  <c r="S318" i="10"/>
  <c r="T318" i="10"/>
  <c r="Z318" i="10" s="1"/>
  <c r="U318" i="10"/>
  <c r="V318" i="10"/>
  <c r="A319" i="10"/>
  <c r="C319" i="10"/>
  <c r="D319" i="10"/>
  <c r="E319" i="10"/>
  <c r="F319" i="10"/>
  <c r="G319" i="10"/>
  <c r="H319" i="10"/>
  <c r="I319" i="10"/>
  <c r="J319" i="10"/>
  <c r="K319" i="10"/>
  <c r="L319" i="10"/>
  <c r="M319" i="10"/>
  <c r="N319" i="10"/>
  <c r="O319" i="10"/>
  <c r="P319" i="10"/>
  <c r="Q319" i="10"/>
  <c r="R319" i="10"/>
  <c r="S319" i="10"/>
  <c r="T319" i="10"/>
  <c r="U319" i="10"/>
  <c r="V319" i="10"/>
  <c r="Z319" i="10"/>
  <c r="A320" i="10"/>
  <c r="C320" i="10"/>
  <c r="D320" i="10"/>
  <c r="E320" i="10"/>
  <c r="F320" i="10"/>
  <c r="G320" i="10"/>
  <c r="H320" i="10"/>
  <c r="I320" i="10"/>
  <c r="J320" i="10"/>
  <c r="K320" i="10"/>
  <c r="L320" i="10"/>
  <c r="M320" i="10"/>
  <c r="N320" i="10"/>
  <c r="O320" i="10"/>
  <c r="P320" i="10"/>
  <c r="Q320" i="10"/>
  <c r="AI320" i="10" s="1"/>
  <c r="R320" i="10"/>
  <c r="S320" i="10"/>
  <c r="T320" i="10"/>
  <c r="Z320" i="10" s="1"/>
  <c r="U320" i="10"/>
  <c r="V320" i="10"/>
  <c r="A321" i="10"/>
  <c r="C321" i="10"/>
  <c r="D321" i="10"/>
  <c r="E321" i="10"/>
  <c r="F321" i="10"/>
  <c r="G321" i="10"/>
  <c r="H321" i="10"/>
  <c r="I321" i="10"/>
  <c r="J321" i="10"/>
  <c r="K321" i="10"/>
  <c r="L321" i="10"/>
  <c r="M321" i="10"/>
  <c r="N321" i="10"/>
  <c r="O321" i="10"/>
  <c r="P321" i="10"/>
  <c r="Q321" i="10"/>
  <c r="AI321" i="10" s="1"/>
  <c r="R321" i="10"/>
  <c r="S321" i="10"/>
  <c r="T321" i="10"/>
  <c r="Z321" i="10" s="1"/>
  <c r="U321" i="10"/>
  <c r="V321" i="10"/>
  <c r="A322" i="10"/>
  <c r="C322" i="10"/>
  <c r="D322" i="10"/>
  <c r="E322" i="10"/>
  <c r="F322" i="10"/>
  <c r="G322" i="10"/>
  <c r="H322" i="10"/>
  <c r="I322" i="10"/>
  <c r="J322" i="10"/>
  <c r="K322" i="10"/>
  <c r="L322" i="10"/>
  <c r="M322" i="10"/>
  <c r="N322" i="10"/>
  <c r="O322" i="10"/>
  <c r="P322" i="10"/>
  <c r="Q322" i="10"/>
  <c r="AI322" i="10" s="1"/>
  <c r="R322" i="10"/>
  <c r="S322" i="10"/>
  <c r="T322" i="10"/>
  <c r="Z322" i="10" s="1"/>
  <c r="U322" i="10"/>
  <c r="V322" i="10"/>
  <c r="A323" i="10"/>
  <c r="C323" i="10"/>
  <c r="D323" i="10"/>
  <c r="E323" i="10"/>
  <c r="F323" i="10"/>
  <c r="G323" i="10"/>
  <c r="H323" i="10"/>
  <c r="I323" i="10"/>
  <c r="J323" i="10"/>
  <c r="K323" i="10"/>
  <c r="L323" i="10"/>
  <c r="M323" i="10"/>
  <c r="N323" i="10"/>
  <c r="O323" i="10"/>
  <c r="P323" i="10"/>
  <c r="Q323" i="10"/>
  <c r="R323" i="10"/>
  <c r="S323" i="10"/>
  <c r="T323" i="10"/>
  <c r="U323" i="10"/>
  <c r="V323" i="10"/>
  <c r="Z323" i="10"/>
  <c r="A324" i="10"/>
  <c r="C324" i="10"/>
  <c r="D324" i="10"/>
  <c r="E324" i="10"/>
  <c r="F324" i="10"/>
  <c r="G324" i="10"/>
  <c r="H324" i="10"/>
  <c r="I324" i="10"/>
  <c r="J324" i="10"/>
  <c r="K324" i="10"/>
  <c r="L324" i="10"/>
  <c r="M324" i="10"/>
  <c r="N324" i="10"/>
  <c r="O324" i="10"/>
  <c r="P324" i="10"/>
  <c r="Q324" i="10"/>
  <c r="AI324" i="10" s="1"/>
  <c r="R324" i="10"/>
  <c r="S324" i="10"/>
  <c r="T324" i="10"/>
  <c r="Z324" i="10" s="1"/>
  <c r="U324" i="10"/>
  <c r="V324" i="10"/>
  <c r="A326" i="10"/>
  <c r="C326" i="10"/>
  <c r="D326" i="10"/>
  <c r="E326" i="10"/>
  <c r="F326" i="10"/>
  <c r="G326" i="10"/>
  <c r="H326" i="10"/>
  <c r="I326" i="10"/>
  <c r="J326" i="10"/>
  <c r="K326" i="10"/>
  <c r="L326" i="10"/>
  <c r="M326" i="10"/>
  <c r="N326" i="10"/>
  <c r="O326" i="10"/>
  <c r="P326" i="10"/>
  <c r="Q326" i="10"/>
  <c r="R326" i="10"/>
  <c r="S326" i="10"/>
  <c r="T326" i="10"/>
  <c r="Z326" i="10" s="1"/>
  <c r="U326" i="10"/>
  <c r="V326" i="10"/>
  <c r="A327" i="10"/>
  <c r="C327" i="10"/>
  <c r="D327" i="10"/>
  <c r="E327" i="10"/>
  <c r="F327" i="10"/>
  <c r="G327" i="10"/>
  <c r="H327" i="10"/>
  <c r="I327" i="10"/>
  <c r="J327" i="10"/>
  <c r="K327" i="10"/>
  <c r="L327" i="10"/>
  <c r="M327" i="10"/>
  <c r="N327" i="10"/>
  <c r="O327" i="10"/>
  <c r="P327" i="10"/>
  <c r="Q327" i="10"/>
  <c r="AI327" i="10" s="1"/>
  <c r="R327" i="10"/>
  <c r="S327" i="10"/>
  <c r="T327" i="10"/>
  <c r="U327" i="10"/>
  <c r="V327" i="10"/>
  <c r="Z327" i="10"/>
  <c r="A328" i="10"/>
  <c r="C328" i="10"/>
  <c r="D328" i="10"/>
  <c r="E328" i="10"/>
  <c r="F328" i="10"/>
  <c r="G328" i="10"/>
  <c r="H328" i="10"/>
  <c r="I328" i="10"/>
  <c r="J328" i="10"/>
  <c r="K328" i="10"/>
  <c r="L328" i="10"/>
  <c r="M328" i="10"/>
  <c r="N328" i="10"/>
  <c r="O328" i="10"/>
  <c r="P328" i="10"/>
  <c r="Q328" i="10"/>
  <c r="AI328" i="10" s="1"/>
  <c r="R328" i="10"/>
  <c r="S328" i="10"/>
  <c r="T328" i="10"/>
  <c r="Z328" i="10" s="1"/>
  <c r="U328" i="10"/>
  <c r="V328" i="10"/>
  <c r="A329" i="10"/>
  <c r="C329" i="10"/>
  <c r="D329" i="10"/>
  <c r="E329" i="10"/>
  <c r="F329" i="10"/>
  <c r="G329" i="10"/>
  <c r="H329" i="10"/>
  <c r="I329" i="10"/>
  <c r="J329" i="10"/>
  <c r="K329" i="10"/>
  <c r="L329" i="10"/>
  <c r="M329" i="10"/>
  <c r="N329" i="10"/>
  <c r="O329" i="10"/>
  <c r="P329" i="10"/>
  <c r="Q329" i="10"/>
  <c r="R329" i="10"/>
  <c r="S329" i="10"/>
  <c r="T329" i="10"/>
  <c r="Z329" i="10" s="1"/>
  <c r="U329" i="10"/>
  <c r="V329" i="10"/>
  <c r="A330" i="10"/>
  <c r="C330" i="10"/>
  <c r="D330" i="10"/>
  <c r="E330" i="10"/>
  <c r="F330" i="10"/>
  <c r="G330" i="10"/>
  <c r="H330" i="10"/>
  <c r="I330" i="10"/>
  <c r="J330" i="10"/>
  <c r="K330" i="10"/>
  <c r="L330" i="10"/>
  <c r="M330" i="10"/>
  <c r="N330" i="10"/>
  <c r="O330" i="10"/>
  <c r="P330" i="10"/>
  <c r="Q330" i="10"/>
  <c r="R330" i="10"/>
  <c r="S330" i="10"/>
  <c r="T330" i="10"/>
  <c r="Z330" i="10" s="1"/>
  <c r="U330" i="10"/>
  <c r="V330" i="10"/>
  <c r="A331" i="10"/>
  <c r="C331" i="10"/>
  <c r="D331" i="10"/>
  <c r="E331" i="10"/>
  <c r="F331" i="10"/>
  <c r="G331" i="10"/>
  <c r="H331" i="10"/>
  <c r="I331" i="10"/>
  <c r="J331" i="10"/>
  <c r="K331" i="10"/>
  <c r="L331" i="10"/>
  <c r="M331" i="10"/>
  <c r="N331" i="10"/>
  <c r="O331" i="10"/>
  <c r="P331" i="10"/>
  <c r="Q331" i="10"/>
  <c r="AI331" i="10" s="1"/>
  <c r="R331" i="10"/>
  <c r="S331" i="10"/>
  <c r="T331" i="10"/>
  <c r="Z331" i="10" s="1"/>
  <c r="U331" i="10"/>
  <c r="V331" i="10"/>
  <c r="A332" i="10"/>
  <c r="C332" i="10"/>
  <c r="D332" i="10"/>
  <c r="E332" i="10"/>
  <c r="F332" i="10"/>
  <c r="G332" i="10"/>
  <c r="H332" i="10"/>
  <c r="I332" i="10"/>
  <c r="J332" i="10"/>
  <c r="K332" i="10"/>
  <c r="L332" i="10"/>
  <c r="M332" i="10"/>
  <c r="N332" i="10"/>
  <c r="O332" i="10"/>
  <c r="P332" i="10"/>
  <c r="Q332" i="10"/>
  <c r="R332" i="10"/>
  <c r="S332" i="10"/>
  <c r="T332" i="10"/>
  <c r="Z332" i="10" s="1"/>
  <c r="U332" i="10"/>
  <c r="V332" i="10"/>
  <c r="A333" i="10"/>
  <c r="C333" i="10"/>
  <c r="D333" i="10"/>
  <c r="E333" i="10"/>
  <c r="F333" i="10"/>
  <c r="G333" i="10"/>
  <c r="H333" i="10"/>
  <c r="I333" i="10"/>
  <c r="J333" i="10"/>
  <c r="K333" i="10"/>
  <c r="L333" i="10"/>
  <c r="M333" i="10"/>
  <c r="N333" i="10"/>
  <c r="O333" i="10"/>
  <c r="P333" i="10"/>
  <c r="Q333" i="10"/>
  <c r="AI333" i="10" s="1"/>
  <c r="R333" i="10"/>
  <c r="S333" i="10"/>
  <c r="T333" i="10"/>
  <c r="Z333" i="10" s="1"/>
  <c r="U333" i="10"/>
  <c r="V333" i="10"/>
  <c r="A334" i="10"/>
  <c r="C334" i="10"/>
  <c r="D334" i="10"/>
  <c r="E334" i="10"/>
  <c r="F334" i="10"/>
  <c r="G334" i="10"/>
  <c r="H334" i="10"/>
  <c r="I334" i="10"/>
  <c r="J334" i="10"/>
  <c r="K334" i="10"/>
  <c r="L334" i="10"/>
  <c r="M334" i="10"/>
  <c r="N334" i="10"/>
  <c r="O334" i="10"/>
  <c r="P334" i="10"/>
  <c r="Q334" i="10"/>
  <c r="AI334" i="10" s="1"/>
  <c r="R334" i="10"/>
  <c r="S334" i="10"/>
  <c r="T334" i="10"/>
  <c r="Z334" i="10" s="1"/>
  <c r="U334" i="10"/>
  <c r="V334" i="10"/>
  <c r="A335" i="10"/>
  <c r="C335" i="10"/>
  <c r="D335" i="10"/>
  <c r="E335" i="10"/>
  <c r="F335" i="10"/>
  <c r="G335" i="10"/>
  <c r="H335" i="10"/>
  <c r="I335" i="10"/>
  <c r="J335" i="10"/>
  <c r="K335" i="10"/>
  <c r="L335" i="10"/>
  <c r="M335" i="10"/>
  <c r="N335" i="10"/>
  <c r="O335" i="10"/>
  <c r="P335" i="10"/>
  <c r="Q335" i="10"/>
  <c r="R335" i="10"/>
  <c r="S335" i="10"/>
  <c r="T335" i="10"/>
  <c r="Z335" i="10" s="1"/>
  <c r="U335" i="10"/>
  <c r="V335" i="10"/>
  <c r="A336" i="10"/>
  <c r="C336" i="10"/>
  <c r="D336" i="10"/>
  <c r="E336" i="10"/>
  <c r="F336" i="10"/>
  <c r="G336" i="10"/>
  <c r="H336" i="10"/>
  <c r="I336" i="10"/>
  <c r="J336" i="10"/>
  <c r="K336" i="10"/>
  <c r="L336" i="10"/>
  <c r="M336" i="10"/>
  <c r="N336" i="10"/>
  <c r="O336" i="10"/>
  <c r="P336" i="10"/>
  <c r="Q336" i="10"/>
  <c r="AI336" i="10" s="1"/>
  <c r="R336" i="10"/>
  <c r="S336" i="10"/>
  <c r="T336" i="10"/>
  <c r="Z336" i="10" s="1"/>
  <c r="U336" i="10"/>
  <c r="V336" i="10"/>
  <c r="A337" i="10"/>
  <c r="C337" i="10"/>
  <c r="D337" i="10"/>
  <c r="E337" i="10"/>
  <c r="F337" i="10"/>
  <c r="G337" i="10"/>
  <c r="H337" i="10"/>
  <c r="I337" i="10"/>
  <c r="J337" i="10"/>
  <c r="K337" i="10"/>
  <c r="L337" i="10"/>
  <c r="M337" i="10"/>
  <c r="N337" i="10"/>
  <c r="O337" i="10"/>
  <c r="P337" i="10"/>
  <c r="Q337" i="10"/>
  <c r="AI337" i="10" s="1"/>
  <c r="R337" i="10"/>
  <c r="S337" i="10"/>
  <c r="T337" i="10"/>
  <c r="Z337" i="10" s="1"/>
  <c r="U337" i="10"/>
  <c r="V337" i="10"/>
  <c r="A338" i="10"/>
  <c r="C338" i="10"/>
  <c r="D338" i="10"/>
  <c r="E338" i="10"/>
  <c r="F338" i="10"/>
  <c r="G338" i="10"/>
  <c r="H338" i="10"/>
  <c r="I338" i="10"/>
  <c r="J338" i="10"/>
  <c r="K338" i="10"/>
  <c r="L338" i="10"/>
  <c r="M338" i="10"/>
  <c r="N338" i="10"/>
  <c r="O338" i="10"/>
  <c r="P338" i="10"/>
  <c r="Q338" i="10"/>
  <c r="R338" i="10"/>
  <c r="S338" i="10"/>
  <c r="T338" i="10"/>
  <c r="Z338" i="10" s="1"/>
  <c r="U338" i="10"/>
  <c r="V338" i="10"/>
  <c r="A339" i="10"/>
  <c r="C339" i="10"/>
  <c r="D339" i="10"/>
  <c r="E339" i="10"/>
  <c r="F339" i="10"/>
  <c r="G339" i="10"/>
  <c r="H339" i="10"/>
  <c r="I339" i="10"/>
  <c r="J339" i="10"/>
  <c r="K339" i="10"/>
  <c r="L339" i="10"/>
  <c r="M339" i="10"/>
  <c r="N339" i="10"/>
  <c r="O339" i="10"/>
  <c r="P339" i="10"/>
  <c r="Q339" i="10"/>
  <c r="AI339" i="10" s="1"/>
  <c r="R339" i="10"/>
  <c r="S339" i="10"/>
  <c r="T339" i="10"/>
  <c r="U339" i="10"/>
  <c r="V339" i="10"/>
  <c r="Z339" i="10"/>
  <c r="A340" i="10"/>
  <c r="C340" i="10"/>
  <c r="D340" i="10"/>
  <c r="E340" i="10"/>
  <c r="F340" i="10"/>
  <c r="G340" i="10"/>
  <c r="H340" i="10"/>
  <c r="I340" i="10"/>
  <c r="J340" i="10"/>
  <c r="K340" i="10"/>
  <c r="L340" i="10"/>
  <c r="M340" i="10"/>
  <c r="N340" i="10"/>
  <c r="O340" i="10"/>
  <c r="P340" i="10"/>
  <c r="Q340" i="10"/>
  <c r="AI340" i="10" s="1"/>
  <c r="R340" i="10"/>
  <c r="S340" i="10"/>
  <c r="T340" i="10"/>
  <c r="Z340" i="10" s="1"/>
  <c r="U340" i="10"/>
  <c r="V340" i="10"/>
  <c r="A341" i="10"/>
  <c r="C341" i="10"/>
  <c r="D341" i="10"/>
  <c r="E341" i="10"/>
  <c r="F341" i="10"/>
  <c r="G341" i="10"/>
  <c r="H341" i="10"/>
  <c r="I341" i="10"/>
  <c r="J341" i="10"/>
  <c r="K341" i="10"/>
  <c r="L341" i="10"/>
  <c r="M341" i="10"/>
  <c r="N341" i="10"/>
  <c r="O341" i="10"/>
  <c r="P341" i="10"/>
  <c r="Q341" i="10"/>
  <c r="R341" i="10"/>
  <c r="S341" i="10"/>
  <c r="T341" i="10"/>
  <c r="Z341" i="10" s="1"/>
  <c r="U341" i="10"/>
  <c r="V341" i="10"/>
  <c r="A342" i="10"/>
  <c r="C342" i="10"/>
  <c r="D342" i="10"/>
  <c r="E342" i="10"/>
  <c r="F342" i="10"/>
  <c r="G342" i="10"/>
  <c r="H342" i="10"/>
  <c r="I342" i="10"/>
  <c r="J342" i="10"/>
  <c r="K342" i="10"/>
  <c r="L342" i="10"/>
  <c r="M342" i="10"/>
  <c r="N342" i="10"/>
  <c r="O342" i="10"/>
  <c r="P342" i="10"/>
  <c r="Q342" i="10"/>
  <c r="AI342" i="10" s="1"/>
  <c r="R342" i="10"/>
  <c r="S342" i="10"/>
  <c r="T342" i="10"/>
  <c r="Z342" i="10" s="1"/>
  <c r="U342" i="10"/>
  <c r="V342" i="10"/>
  <c r="A343" i="10"/>
  <c r="C343" i="10"/>
  <c r="D343" i="10"/>
  <c r="E343" i="10"/>
  <c r="F343" i="10"/>
  <c r="G343" i="10"/>
  <c r="H343" i="10"/>
  <c r="I343" i="10"/>
  <c r="J343" i="10"/>
  <c r="K343" i="10"/>
  <c r="L343" i="10"/>
  <c r="M343" i="10"/>
  <c r="N343" i="10"/>
  <c r="O343" i="10"/>
  <c r="P343" i="10"/>
  <c r="Q343" i="10"/>
  <c r="AI343" i="10" s="1"/>
  <c r="R343" i="10"/>
  <c r="S343" i="10"/>
  <c r="T343" i="10"/>
  <c r="Z343" i="10" s="1"/>
  <c r="U343" i="10"/>
  <c r="V343" i="10"/>
  <c r="A344" i="10"/>
  <c r="C344" i="10"/>
  <c r="D344" i="10"/>
  <c r="E344" i="10"/>
  <c r="F344" i="10"/>
  <c r="G344" i="10"/>
  <c r="H344" i="10"/>
  <c r="I344" i="10"/>
  <c r="J344" i="10"/>
  <c r="K344" i="10"/>
  <c r="L344" i="10"/>
  <c r="M344" i="10"/>
  <c r="N344" i="10"/>
  <c r="O344" i="10"/>
  <c r="P344" i="10"/>
  <c r="Q344" i="10"/>
  <c r="R344" i="10"/>
  <c r="S344" i="10"/>
  <c r="T344" i="10"/>
  <c r="Z344" i="10" s="1"/>
  <c r="U344" i="10"/>
  <c r="V344" i="10"/>
  <c r="A345" i="10"/>
  <c r="C345" i="10"/>
  <c r="D345" i="10"/>
  <c r="E345" i="10"/>
  <c r="F345" i="10"/>
  <c r="G345" i="10"/>
  <c r="H345" i="10"/>
  <c r="I345" i="10"/>
  <c r="J345" i="10"/>
  <c r="K345" i="10"/>
  <c r="L345" i="10"/>
  <c r="M345" i="10"/>
  <c r="N345" i="10"/>
  <c r="O345" i="10"/>
  <c r="P345" i="10"/>
  <c r="Q345" i="10"/>
  <c r="AI345" i="10" s="1"/>
  <c r="R345" i="10"/>
  <c r="S345" i="10"/>
  <c r="T345" i="10"/>
  <c r="U345" i="10"/>
  <c r="V345" i="10"/>
  <c r="Z345" i="10"/>
  <c r="A346" i="10"/>
  <c r="C346" i="10"/>
  <c r="D346" i="10"/>
  <c r="E346" i="10"/>
  <c r="F346" i="10"/>
  <c r="G346" i="10"/>
  <c r="H346" i="10"/>
  <c r="I346" i="10"/>
  <c r="J346" i="10"/>
  <c r="K346" i="10"/>
  <c r="L346" i="10"/>
  <c r="M346" i="10"/>
  <c r="N346" i="10"/>
  <c r="O346" i="10"/>
  <c r="P346" i="10"/>
  <c r="Q346" i="10"/>
  <c r="AI346" i="10" s="1"/>
  <c r="R346" i="10"/>
  <c r="S346" i="10"/>
  <c r="T346" i="10"/>
  <c r="Z346" i="10" s="1"/>
  <c r="U346" i="10"/>
  <c r="V346" i="10"/>
  <c r="A347" i="10"/>
  <c r="C347" i="10"/>
  <c r="D347" i="10"/>
  <c r="E347" i="10"/>
  <c r="F347" i="10"/>
  <c r="G347" i="10"/>
  <c r="H347" i="10"/>
  <c r="I347" i="10"/>
  <c r="J347" i="10"/>
  <c r="K347" i="10"/>
  <c r="L347" i="10"/>
  <c r="M347" i="10"/>
  <c r="N347" i="10"/>
  <c r="O347" i="10"/>
  <c r="P347" i="10"/>
  <c r="Q347" i="10"/>
  <c r="R347" i="10"/>
  <c r="S347" i="10"/>
  <c r="T347" i="10"/>
  <c r="Z347" i="10" s="1"/>
  <c r="U347" i="10"/>
  <c r="V347" i="10"/>
  <c r="A348" i="10"/>
  <c r="C348" i="10"/>
  <c r="D348" i="10"/>
  <c r="E348" i="10"/>
  <c r="F348" i="10"/>
  <c r="G348" i="10"/>
  <c r="H348" i="10"/>
  <c r="I348" i="10"/>
  <c r="J348" i="10"/>
  <c r="K348" i="10"/>
  <c r="L348" i="10"/>
  <c r="M348" i="10"/>
  <c r="N348" i="10"/>
  <c r="O348" i="10"/>
  <c r="P348" i="10"/>
  <c r="Q348" i="10"/>
  <c r="R348" i="10"/>
  <c r="S348" i="10"/>
  <c r="T348" i="10"/>
  <c r="Z348" i="10" s="1"/>
  <c r="U348" i="10"/>
  <c r="V348" i="10"/>
  <c r="AI348" i="10"/>
  <c r="A349" i="10"/>
  <c r="C349" i="10"/>
  <c r="D349" i="10"/>
  <c r="E349" i="10"/>
  <c r="F349" i="10"/>
  <c r="G349" i="10"/>
  <c r="H349" i="10"/>
  <c r="I349" i="10"/>
  <c r="J349" i="10"/>
  <c r="K349" i="10"/>
  <c r="L349" i="10"/>
  <c r="M349" i="10"/>
  <c r="N349" i="10"/>
  <c r="O349" i="10"/>
  <c r="P349" i="10"/>
  <c r="Q349" i="10"/>
  <c r="AI349" i="10" s="1"/>
  <c r="R349" i="10"/>
  <c r="S349" i="10"/>
  <c r="T349" i="10"/>
  <c r="U349" i="10"/>
  <c r="V349" i="10"/>
  <c r="Z349" i="10"/>
  <c r="A350" i="10"/>
  <c r="C350" i="10"/>
  <c r="D350" i="10"/>
  <c r="E350" i="10"/>
  <c r="F350" i="10"/>
  <c r="G350" i="10"/>
  <c r="H350" i="10"/>
  <c r="I350" i="10"/>
  <c r="J350" i="10"/>
  <c r="K350" i="10"/>
  <c r="L350" i="10"/>
  <c r="M350" i="10"/>
  <c r="N350" i="10"/>
  <c r="O350" i="10"/>
  <c r="P350" i="10"/>
  <c r="Q350" i="10"/>
  <c r="AI350" i="10" s="1"/>
  <c r="R350" i="10"/>
  <c r="S350" i="10"/>
  <c r="T350" i="10"/>
  <c r="Z350" i="10" s="1"/>
  <c r="U350" i="10"/>
  <c r="V350" i="10"/>
  <c r="A351" i="10"/>
  <c r="C351" i="10"/>
  <c r="D351" i="10"/>
  <c r="E351" i="10"/>
  <c r="F351" i="10"/>
  <c r="G351" i="10"/>
  <c r="H351" i="10"/>
  <c r="I351" i="10"/>
  <c r="J351" i="10"/>
  <c r="K351" i="10"/>
  <c r="L351" i="10"/>
  <c r="M351" i="10"/>
  <c r="N351" i="10"/>
  <c r="O351" i="10"/>
  <c r="P351" i="10"/>
  <c r="Q351" i="10"/>
  <c r="R351" i="10"/>
  <c r="S351" i="10"/>
  <c r="T351" i="10"/>
  <c r="Z351" i="10" s="1"/>
  <c r="U351" i="10"/>
  <c r="V351" i="10"/>
  <c r="A352" i="10"/>
  <c r="C352" i="10"/>
  <c r="D352" i="10"/>
  <c r="E352" i="10"/>
  <c r="F352" i="10"/>
  <c r="G352" i="10"/>
  <c r="H352" i="10"/>
  <c r="I352" i="10"/>
  <c r="J352" i="10"/>
  <c r="K352" i="10"/>
  <c r="L352" i="10"/>
  <c r="M352" i="10"/>
  <c r="N352" i="10"/>
  <c r="O352" i="10"/>
  <c r="P352" i="10"/>
  <c r="Q352" i="10"/>
  <c r="AI352" i="10" s="1"/>
  <c r="R352" i="10"/>
  <c r="S352" i="10"/>
  <c r="T352" i="10"/>
  <c r="Z352" i="10" s="1"/>
  <c r="U352" i="10"/>
  <c r="V352" i="10"/>
  <c r="A353" i="10"/>
  <c r="C353" i="10"/>
  <c r="D353" i="10"/>
  <c r="E353" i="10"/>
  <c r="F353" i="10"/>
  <c r="G353" i="10"/>
  <c r="H353" i="10"/>
  <c r="I353" i="10"/>
  <c r="J353" i="10"/>
  <c r="K353" i="10"/>
  <c r="L353" i="10"/>
  <c r="M353" i="10"/>
  <c r="N353" i="10"/>
  <c r="O353" i="10"/>
  <c r="P353" i="10"/>
  <c r="Q353" i="10"/>
  <c r="AI353" i="10" s="1"/>
  <c r="R353" i="10"/>
  <c r="S353" i="10"/>
  <c r="T353" i="10"/>
  <c r="Z353" i="10" s="1"/>
  <c r="U353" i="10"/>
  <c r="V353" i="10"/>
  <c r="A354" i="10"/>
  <c r="C354" i="10"/>
  <c r="D354" i="10"/>
  <c r="E354" i="10"/>
  <c r="F354" i="10"/>
  <c r="G354" i="10"/>
  <c r="H354" i="10"/>
  <c r="I354" i="10"/>
  <c r="J354" i="10"/>
  <c r="K354" i="10"/>
  <c r="L354" i="10"/>
  <c r="M354" i="10"/>
  <c r="N354" i="10"/>
  <c r="O354" i="10"/>
  <c r="P354" i="10"/>
  <c r="Q354" i="10"/>
  <c r="AI354" i="10" s="1"/>
  <c r="R354" i="10"/>
  <c r="S354" i="10"/>
  <c r="T354" i="10"/>
  <c r="Z354" i="10" s="1"/>
  <c r="U354" i="10"/>
  <c r="V354" i="10"/>
  <c r="A355" i="10"/>
  <c r="C355" i="10"/>
  <c r="D355" i="10"/>
  <c r="E355" i="10"/>
  <c r="F355" i="10"/>
  <c r="G355" i="10"/>
  <c r="H355" i="10"/>
  <c r="I355" i="10"/>
  <c r="J355" i="10"/>
  <c r="K355" i="10"/>
  <c r="L355" i="10"/>
  <c r="M355" i="10"/>
  <c r="N355" i="10"/>
  <c r="O355" i="10"/>
  <c r="P355" i="10"/>
  <c r="Q355" i="10"/>
  <c r="R355" i="10"/>
  <c r="S355" i="10"/>
  <c r="T355" i="10"/>
  <c r="U355" i="10"/>
  <c r="V355" i="10"/>
  <c r="Z355" i="10"/>
  <c r="A356" i="10"/>
  <c r="C356" i="10"/>
  <c r="D356" i="10"/>
  <c r="E356" i="10"/>
  <c r="F356" i="10"/>
  <c r="G356" i="10"/>
  <c r="H356" i="10"/>
  <c r="I356" i="10"/>
  <c r="J356" i="10"/>
  <c r="K356" i="10"/>
  <c r="L356" i="10"/>
  <c r="M356" i="10"/>
  <c r="N356" i="10"/>
  <c r="O356" i="10"/>
  <c r="P356" i="10"/>
  <c r="Q356" i="10"/>
  <c r="AI356" i="10" s="1"/>
  <c r="R356" i="10"/>
  <c r="S356" i="10"/>
  <c r="T356" i="10"/>
  <c r="Z356" i="10" s="1"/>
  <c r="U356" i="10"/>
  <c r="V356" i="10"/>
  <c r="A357" i="10"/>
  <c r="C357" i="10"/>
  <c r="D357" i="10"/>
  <c r="E357" i="10"/>
  <c r="F357" i="10"/>
  <c r="G357" i="10"/>
  <c r="H357" i="10"/>
  <c r="I357" i="10"/>
  <c r="J357" i="10"/>
  <c r="K357" i="10"/>
  <c r="L357" i="10"/>
  <c r="M357" i="10"/>
  <c r="N357" i="10"/>
  <c r="O357" i="10"/>
  <c r="P357" i="10"/>
  <c r="Q357" i="10"/>
  <c r="AI357" i="10" s="1"/>
  <c r="R357" i="10"/>
  <c r="S357" i="10"/>
  <c r="T357" i="10"/>
  <c r="Z357" i="10" s="1"/>
  <c r="U357" i="10"/>
  <c r="V357" i="10"/>
  <c r="A358" i="10"/>
  <c r="C358" i="10"/>
  <c r="D358" i="10"/>
  <c r="E358" i="10"/>
  <c r="F358" i="10"/>
  <c r="G358" i="10"/>
  <c r="H358" i="10"/>
  <c r="I358" i="10"/>
  <c r="J358" i="10"/>
  <c r="K358" i="10"/>
  <c r="L358" i="10"/>
  <c r="M358" i="10"/>
  <c r="N358" i="10"/>
  <c r="O358" i="10"/>
  <c r="P358" i="10"/>
  <c r="Q358" i="10"/>
  <c r="AI358" i="10" s="1"/>
  <c r="R358" i="10"/>
  <c r="S358" i="10"/>
  <c r="T358" i="10"/>
  <c r="Z358" i="10" s="1"/>
  <c r="U358" i="10"/>
  <c r="V358" i="10"/>
  <c r="A359" i="10"/>
  <c r="C359" i="10"/>
  <c r="D359" i="10"/>
  <c r="E359" i="10"/>
  <c r="F359" i="10"/>
  <c r="G359" i="10"/>
  <c r="H359" i="10"/>
  <c r="I359" i="10"/>
  <c r="J359" i="10"/>
  <c r="K359" i="10"/>
  <c r="L359" i="10"/>
  <c r="M359" i="10"/>
  <c r="N359" i="10"/>
  <c r="O359" i="10"/>
  <c r="P359" i="10"/>
  <c r="Q359" i="10"/>
  <c r="R359" i="10"/>
  <c r="S359" i="10"/>
  <c r="T359" i="10"/>
  <c r="U359" i="10"/>
  <c r="V359" i="10"/>
  <c r="Z359" i="10"/>
  <c r="A360" i="10"/>
  <c r="C360" i="10"/>
  <c r="D360" i="10"/>
  <c r="E360" i="10"/>
  <c r="F360" i="10"/>
  <c r="G360" i="10"/>
  <c r="H360" i="10"/>
  <c r="I360" i="10"/>
  <c r="J360" i="10"/>
  <c r="K360" i="10"/>
  <c r="L360" i="10"/>
  <c r="M360" i="10"/>
  <c r="N360" i="10"/>
  <c r="O360" i="10"/>
  <c r="P360" i="10"/>
  <c r="Q360" i="10"/>
  <c r="AI360" i="10" s="1"/>
  <c r="R360" i="10"/>
  <c r="S360" i="10"/>
  <c r="T360" i="10"/>
  <c r="Z360" i="10" s="1"/>
  <c r="U360" i="10"/>
  <c r="V360" i="10"/>
  <c r="A361" i="10"/>
  <c r="C361" i="10"/>
  <c r="D361" i="10"/>
  <c r="E361" i="10"/>
  <c r="F361" i="10"/>
  <c r="G361" i="10"/>
  <c r="H361" i="10"/>
  <c r="I361" i="10"/>
  <c r="J361" i="10"/>
  <c r="K361" i="10"/>
  <c r="L361" i="10"/>
  <c r="M361" i="10"/>
  <c r="N361" i="10"/>
  <c r="O361" i="10"/>
  <c r="P361" i="10"/>
  <c r="Q361" i="10"/>
  <c r="AI361" i="10" s="1"/>
  <c r="R361" i="10"/>
  <c r="S361" i="10"/>
  <c r="T361" i="10"/>
  <c r="Z361" i="10" s="1"/>
  <c r="U361" i="10"/>
  <c r="V361" i="10"/>
  <c r="A362" i="10"/>
  <c r="C362" i="10"/>
  <c r="D362" i="10"/>
  <c r="E362" i="10"/>
  <c r="F362" i="10"/>
  <c r="G362" i="10"/>
  <c r="H362" i="10"/>
  <c r="I362" i="10"/>
  <c r="J362" i="10"/>
  <c r="K362" i="10"/>
  <c r="L362" i="10"/>
  <c r="M362" i="10"/>
  <c r="N362" i="10"/>
  <c r="O362" i="10"/>
  <c r="P362" i="10"/>
  <c r="Q362" i="10"/>
  <c r="AI362" i="10" s="1"/>
  <c r="R362" i="10"/>
  <c r="S362" i="10"/>
  <c r="T362" i="10"/>
  <c r="Z362" i="10" s="1"/>
  <c r="U362" i="10"/>
  <c r="V362" i="10"/>
  <c r="A363" i="10"/>
  <c r="C363" i="10"/>
  <c r="D363" i="10"/>
  <c r="E363" i="10"/>
  <c r="F363" i="10"/>
  <c r="G363" i="10"/>
  <c r="H363" i="10"/>
  <c r="I363" i="10"/>
  <c r="J363" i="10"/>
  <c r="K363" i="10"/>
  <c r="L363" i="10"/>
  <c r="M363" i="10"/>
  <c r="N363" i="10"/>
  <c r="O363" i="10"/>
  <c r="P363" i="10"/>
  <c r="Q363" i="10"/>
  <c r="R363" i="10"/>
  <c r="S363" i="10"/>
  <c r="T363" i="10"/>
  <c r="U363" i="10"/>
  <c r="V363" i="10"/>
  <c r="Z363" i="10"/>
  <c r="A364" i="10"/>
  <c r="C364" i="10"/>
  <c r="D364" i="10"/>
  <c r="E364" i="10"/>
  <c r="F364" i="10"/>
  <c r="G364" i="10"/>
  <c r="H364" i="10"/>
  <c r="I364" i="10"/>
  <c r="J364" i="10"/>
  <c r="K364" i="10"/>
  <c r="L364" i="10"/>
  <c r="M364" i="10"/>
  <c r="N364" i="10"/>
  <c r="O364" i="10"/>
  <c r="P364" i="10"/>
  <c r="Q364" i="10"/>
  <c r="AI364" i="10" s="1"/>
  <c r="R364" i="10"/>
  <c r="S364" i="10"/>
  <c r="T364" i="10"/>
  <c r="U364" i="10"/>
  <c r="V364" i="10"/>
  <c r="Z364" i="10"/>
  <c r="A365" i="10"/>
  <c r="C365" i="10"/>
  <c r="D365" i="10"/>
  <c r="E365" i="10"/>
  <c r="F365" i="10"/>
  <c r="G365" i="10"/>
  <c r="H365" i="10"/>
  <c r="I365" i="10"/>
  <c r="J365" i="10"/>
  <c r="K365" i="10"/>
  <c r="L365" i="10"/>
  <c r="M365" i="10"/>
  <c r="N365" i="10"/>
  <c r="O365" i="10"/>
  <c r="P365" i="10"/>
  <c r="Q365" i="10"/>
  <c r="AI365" i="10" s="1"/>
  <c r="R365" i="10"/>
  <c r="S365" i="10"/>
  <c r="T365" i="10"/>
  <c r="Z365" i="10" s="1"/>
  <c r="U365" i="10"/>
  <c r="V365" i="10"/>
  <c r="A366" i="10"/>
  <c r="C366" i="10"/>
  <c r="D366" i="10"/>
  <c r="E366" i="10"/>
  <c r="F366" i="10"/>
  <c r="G366" i="10"/>
  <c r="H366" i="10"/>
  <c r="I366" i="10"/>
  <c r="J366" i="10"/>
  <c r="K366" i="10"/>
  <c r="L366" i="10"/>
  <c r="M366" i="10"/>
  <c r="N366" i="10"/>
  <c r="O366" i="10"/>
  <c r="P366" i="10"/>
  <c r="Q366" i="10"/>
  <c r="AI366" i="10" s="1"/>
  <c r="R366" i="10"/>
  <c r="S366" i="10"/>
  <c r="T366" i="10"/>
  <c r="Z366" i="10" s="1"/>
  <c r="U366" i="10"/>
  <c r="V366" i="10"/>
  <c r="A367" i="10"/>
  <c r="C367" i="10"/>
  <c r="D367" i="10"/>
  <c r="E367" i="10"/>
  <c r="F367" i="10"/>
  <c r="G367" i="10"/>
  <c r="H367" i="10"/>
  <c r="I367" i="10"/>
  <c r="J367" i="10"/>
  <c r="K367" i="10"/>
  <c r="L367" i="10"/>
  <c r="M367" i="10"/>
  <c r="N367" i="10"/>
  <c r="O367" i="10"/>
  <c r="P367" i="10"/>
  <c r="Q367" i="10"/>
  <c r="R367" i="10"/>
  <c r="S367" i="10"/>
  <c r="T367" i="10"/>
  <c r="Z367" i="10" s="1"/>
  <c r="U367" i="10"/>
  <c r="V367" i="10"/>
  <c r="A368" i="10"/>
  <c r="C368" i="10"/>
  <c r="D368" i="10"/>
  <c r="E368" i="10"/>
  <c r="F368" i="10"/>
  <c r="G368" i="10"/>
  <c r="H368" i="10"/>
  <c r="I368" i="10"/>
  <c r="J368" i="10"/>
  <c r="K368" i="10"/>
  <c r="L368" i="10"/>
  <c r="M368" i="10"/>
  <c r="N368" i="10"/>
  <c r="O368" i="10"/>
  <c r="P368" i="10"/>
  <c r="Q368" i="10"/>
  <c r="AI368" i="10" s="1"/>
  <c r="R368" i="10"/>
  <c r="S368" i="10"/>
  <c r="T368" i="10"/>
  <c r="U368" i="10"/>
  <c r="V368" i="10"/>
  <c r="Z368" i="10"/>
  <c r="A369" i="10"/>
  <c r="C369" i="10"/>
  <c r="D369" i="10"/>
  <c r="E369" i="10"/>
  <c r="F369" i="10"/>
  <c r="G369" i="10"/>
  <c r="H369" i="10"/>
  <c r="I369" i="10"/>
  <c r="J369" i="10"/>
  <c r="K369" i="10"/>
  <c r="L369" i="10"/>
  <c r="M369" i="10"/>
  <c r="N369" i="10"/>
  <c r="O369" i="10"/>
  <c r="P369" i="10"/>
  <c r="Q369" i="10"/>
  <c r="R369" i="10"/>
  <c r="S369" i="10"/>
  <c r="T369" i="10"/>
  <c r="Z369" i="10" s="1"/>
  <c r="U369" i="10"/>
  <c r="V369" i="10"/>
  <c r="A370" i="10"/>
  <c r="C370" i="10"/>
  <c r="D370" i="10"/>
  <c r="E370" i="10"/>
  <c r="F370" i="10"/>
  <c r="G370" i="10"/>
  <c r="H370" i="10"/>
  <c r="I370" i="10"/>
  <c r="J370" i="10"/>
  <c r="K370" i="10"/>
  <c r="L370" i="10"/>
  <c r="M370" i="10"/>
  <c r="AI370" i="10" s="1"/>
  <c r="N370" i="10"/>
  <c r="O370" i="10"/>
  <c r="P370" i="10"/>
  <c r="Q370" i="10"/>
  <c r="R370" i="10"/>
  <c r="S370" i="10"/>
  <c r="T370" i="10"/>
  <c r="U370" i="10"/>
  <c r="V370" i="10"/>
  <c r="Z370" i="10"/>
  <c r="A371" i="10"/>
  <c r="C371" i="10"/>
  <c r="D371" i="10"/>
  <c r="E371" i="10"/>
  <c r="F371" i="10"/>
  <c r="G371" i="10"/>
  <c r="H371" i="10"/>
  <c r="I371" i="10"/>
  <c r="J371" i="10"/>
  <c r="K371" i="10"/>
  <c r="L371" i="10"/>
  <c r="M371" i="10"/>
  <c r="N371" i="10"/>
  <c r="O371" i="10"/>
  <c r="P371" i="10"/>
  <c r="Q371" i="10"/>
  <c r="R371" i="10"/>
  <c r="S371" i="10"/>
  <c r="T371" i="10"/>
  <c r="Z371" i="10" s="1"/>
  <c r="U371" i="10"/>
  <c r="V371" i="10"/>
  <c r="AI371" i="10"/>
  <c r="A372" i="10"/>
  <c r="C372" i="10"/>
  <c r="D372" i="10"/>
  <c r="E372" i="10"/>
  <c r="F372" i="10"/>
  <c r="G372" i="10"/>
  <c r="H372" i="10"/>
  <c r="I372" i="10"/>
  <c r="J372" i="10"/>
  <c r="K372" i="10"/>
  <c r="L372" i="10"/>
  <c r="M372" i="10"/>
  <c r="N372" i="10"/>
  <c r="O372" i="10"/>
  <c r="P372" i="10"/>
  <c r="Q372" i="10"/>
  <c r="R372" i="10"/>
  <c r="S372" i="10"/>
  <c r="T372" i="10"/>
  <c r="U372" i="10"/>
  <c r="V372" i="10"/>
  <c r="Z372" i="10"/>
  <c r="A373" i="10"/>
  <c r="C373" i="10"/>
  <c r="D373" i="10"/>
  <c r="E373" i="10"/>
  <c r="F373" i="10"/>
  <c r="G373" i="10"/>
  <c r="H373" i="10"/>
  <c r="I373" i="10"/>
  <c r="J373" i="10"/>
  <c r="K373" i="10"/>
  <c r="L373" i="10"/>
  <c r="M373" i="10"/>
  <c r="N373" i="10"/>
  <c r="O373" i="10"/>
  <c r="P373" i="10"/>
  <c r="Q373" i="10"/>
  <c r="AI373" i="10" s="1"/>
  <c r="R373" i="10"/>
  <c r="S373" i="10"/>
  <c r="T373" i="10"/>
  <c r="Z373" i="10" s="1"/>
  <c r="U373" i="10"/>
  <c r="V373" i="10"/>
  <c r="A374" i="10"/>
  <c r="C374" i="10"/>
  <c r="D374" i="10"/>
  <c r="E374" i="10"/>
  <c r="F374" i="10"/>
  <c r="G374" i="10"/>
  <c r="H374" i="10"/>
  <c r="I374" i="10"/>
  <c r="J374" i="10"/>
  <c r="K374" i="10"/>
  <c r="L374" i="10"/>
  <c r="M374" i="10"/>
  <c r="N374" i="10"/>
  <c r="O374" i="10"/>
  <c r="P374" i="10"/>
  <c r="Q374" i="10"/>
  <c r="R374" i="10"/>
  <c r="S374" i="10"/>
  <c r="T374" i="10"/>
  <c r="Z374" i="10" s="1"/>
  <c r="U374" i="10"/>
  <c r="V374" i="10"/>
  <c r="A375" i="10"/>
  <c r="C375" i="10"/>
  <c r="D375" i="10"/>
  <c r="E375" i="10"/>
  <c r="F375" i="10"/>
  <c r="G375" i="10"/>
  <c r="H375" i="10"/>
  <c r="I375" i="10"/>
  <c r="J375" i="10"/>
  <c r="K375" i="10"/>
  <c r="L375" i="10"/>
  <c r="M375" i="10"/>
  <c r="N375" i="10"/>
  <c r="O375" i="10"/>
  <c r="P375" i="10"/>
  <c r="Q375" i="10"/>
  <c r="R375" i="10"/>
  <c r="S375" i="10"/>
  <c r="T375" i="10"/>
  <c r="Z375" i="10" s="1"/>
  <c r="U375" i="10"/>
  <c r="V375" i="10"/>
  <c r="AI375" i="10"/>
  <c r="A376" i="10"/>
  <c r="C376" i="10"/>
  <c r="D376" i="10"/>
  <c r="E376" i="10"/>
  <c r="F376" i="10"/>
  <c r="G376" i="10"/>
  <c r="H376" i="10"/>
  <c r="I376" i="10"/>
  <c r="J376" i="10"/>
  <c r="K376" i="10"/>
  <c r="L376" i="10"/>
  <c r="M376" i="10"/>
  <c r="N376" i="10"/>
  <c r="O376" i="10"/>
  <c r="P376" i="10"/>
  <c r="Q376" i="10"/>
  <c r="AI376" i="10" s="1"/>
  <c r="R376" i="10"/>
  <c r="S376" i="10"/>
  <c r="T376" i="10"/>
  <c r="U376" i="10"/>
  <c r="V376" i="10"/>
  <c r="Z376" i="10"/>
  <c r="A377" i="10"/>
  <c r="C377" i="10"/>
  <c r="D377" i="10"/>
  <c r="E377" i="10"/>
  <c r="F377" i="10"/>
  <c r="G377" i="10"/>
  <c r="H377" i="10"/>
  <c r="I377" i="10"/>
  <c r="J377" i="10"/>
  <c r="K377" i="10"/>
  <c r="L377" i="10"/>
  <c r="M377" i="10"/>
  <c r="N377" i="10"/>
  <c r="O377" i="10"/>
  <c r="P377" i="10"/>
  <c r="Q377" i="10"/>
  <c r="AI377" i="10" s="1"/>
  <c r="R377" i="10"/>
  <c r="S377" i="10"/>
  <c r="T377" i="10"/>
  <c r="Z377" i="10" s="1"/>
  <c r="U377" i="10"/>
  <c r="V377" i="10"/>
  <c r="A378" i="10"/>
  <c r="C378" i="10"/>
  <c r="D378" i="10"/>
  <c r="E378" i="10"/>
  <c r="F378" i="10"/>
  <c r="G378" i="10"/>
  <c r="H378" i="10"/>
  <c r="I378" i="10"/>
  <c r="J378" i="10"/>
  <c r="K378" i="10"/>
  <c r="L378" i="10"/>
  <c r="M378" i="10"/>
  <c r="N378" i="10"/>
  <c r="O378" i="10"/>
  <c r="P378" i="10"/>
  <c r="Q378" i="10"/>
  <c r="R378" i="10"/>
  <c r="S378" i="10"/>
  <c r="T378" i="10"/>
  <c r="Z378" i="10" s="1"/>
  <c r="U378" i="10"/>
  <c r="V378" i="10"/>
  <c r="A379" i="10"/>
  <c r="C379" i="10"/>
  <c r="D379" i="10"/>
  <c r="E379" i="10"/>
  <c r="F379" i="10"/>
  <c r="G379" i="10"/>
  <c r="H379" i="10"/>
  <c r="I379" i="10"/>
  <c r="J379" i="10"/>
  <c r="K379" i="10"/>
  <c r="L379" i="10"/>
  <c r="M379" i="10"/>
  <c r="N379" i="10"/>
  <c r="O379" i="10"/>
  <c r="P379" i="10"/>
  <c r="Q379" i="10"/>
  <c r="R379" i="10"/>
  <c r="S379" i="10"/>
  <c r="T379" i="10"/>
  <c r="Z379" i="10" s="1"/>
  <c r="U379" i="10"/>
  <c r="V379" i="10"/>
  <c r="AI379" i="10"/>
  <c r="A380" i="10"/>
  <c r="C380" i="10"/>
  <c r="D380" i="10"/>
  <c r="E380" i="10"/>
  <c r="F380" i="10"/>
  <c r="G380" i="10"/>
  <c r="H380" i="10"/>
  <c r="I380" i="10"/>
  <c r="J380" i="10"/>
  <c r="K380" i="10"/>
  <c r="L380" i="10"/>
  <c r="M380" i="10"/>
  <c r="N380" i="10"/>
  <c r="O380" i="10"/>
  <c r="P380" i="10"/>
  <c r="Q380" i="10"/>
  <c r="R380" i="10"/>
  <c r="S380" i="10"/>
  <c r="T380" i="10"/>
  <c r="U380" i="10"/>
  <c r="V380" i="10"/>
  <c r="Z380" i="10"/>
  <c r="A381" i="10"/>
  <c r="C381" i="10"/>
  <c r="D381" i="10"/>
  <c r="E381" i="10"/>
  <c r="F381" i="10"/>
  <c r="G381" i="10"/>
  <c r="H381" i="10"/>
  <c r="I381" i="10"/>
  <c r="J381" i="10"/>
  <c r="K381" i="10"/>
  <c r="L381" i="10"/>
  <c r="M381" i="10"/>
  <c r="N381" i="10"/>
  <c r="O381" i="10"/>
  <c r="P381" i="10"/>
  <c r="Q381" i="10"/>
  <c r="R381" i="10"/>
  <c r="S381" i="10"/>
  <c r="T381" i="10"/>
  <c r="Z381" i="10" s="1"/>
  <c r="U381" i="10"/>
  <c r="V381" i="10"/>
  <c r="A382" i="10"/>
  <c r="C382" i="10"/>
  <c r="D382" i="10"/>
  <c r="E382" i="10"/>
  <c r="F382" i="10"/>
  <c r="G382" i="10"/>
  <c r="H382" i="10"/>
  <c r="I382" i="10"/>
  <c r="J382" i="10"/>
  <c r="K382" i="10"/>
  <c r="L382" i="10"/>
  <c r="M382" i="10"/>
  <c r="N382" i="10"/>
  <c r="O382" i="10"/>
  <c r="P382" i="10"/>
  <c r="Q382" i="10"/>
  <c r="R382" i="10"/>
  <c r="S382" i="10"/>
  <c r="T382" i="10"/>
  <c r="U382" i="10"/>
  <c r="V382" i="10"/>
  <c r="Z382" i="10"/>
  <c r="A84" i="10"/>
  <c r="C84" i="10"/>
  <c r="D84" i="10"/>
  <c r="E84" i="10"/>
  <c r="F84" i="10"/>
  <c r="G84" i="10"/>
  <c r="H84" i="10"/>
  <c r="I84" i="10"/>
  <c r="J84" i="10"/>
  <c r="K84" i="10"/>
  <c r="L84" i="10"/>
  <c r="M84" i="10"/>
  <c r="N84" i="10"/>
  <c r="O84" i="10"/>
  <c r="P84" i="10"/>
  <c r="Q84" i="10"/>
  <c r="AI84" i="10" s="1"/>
  <c r="R84" i="10"/>
  <c r="S84" i="10"/>
  <c r="T84" i="10"/>
  <c r="U84" i="10"/>
  <c r="V84" i="10"/>
  <c r="Z84" i="10" s="1"/>
  <c r="AD84" i="10"/>
  <c r="A85" i="10"/>
  <c r="C85" i="10"/>
  <c r="D85" i="10"/>
  <c r="E85" i="10"/>
  <c r="F85" i="10"/>
  <c r="G85" i="10"/>
  <c r="H85" i="10"/>
  <c r="I85" i="10"/>
  <c r="J85" i="10"/>
  <c r="K85" i="10"/>
  <c r="L85" i="10"/>
  <c r="M85" i="10"/>
  <c r="N85" i="10"/>
  <c r="O85" i="10"/>
  <c r="P85" i="10"/>
  <c r="Q85" i="10"/>
  <c r="AI85" i="10" s="1"/>
  <c r="R85" i="10"/>
  <c r="S85" i="10"/>
  <c r="T85" i="10"/>
  <c r="U85" i="10"/>
  <c r="V85" i="10"/>
  <c r="Z85" i="10" s="1"/>
  <c r="AD85" i="10"/>
  <c r="A86" i="10"/>
  <c r="C86" i="10"/>
  <c r="D86" i="10"/>
  <c r="E86" i="10"/>
  <c r="F86" i="10"/>
  <c r="G86" i="10"/>
  <c r="H86" i="10"/>
  <c r="I86" i="10"/>
  <c r="J86" i="10"/>
  <c r="K86" i="10"/>
  <c r="L86" i="10"/>
  <c r="M86" i="10"/>
  <c r="N86" i="10"/>
  <c r="O86" i="10"/>
  <c r="P86" i="10"/>
  <c r="Q86" i="10"/>
  <c r="AI86" i="10" s="1"/>
  <c r="R86" i="10"/>
  <c r="S86" i="10"/>
  <c r="T86" i="10"/>
  <c r="U86" i="10"/>
  <c r="V86" i="10"/>
  <c r="Z86" i="10" s="1"/>
  <c r="AD86" i="10"/>
  <c r="A87" i="10"/>
  <c r="C87" i="10"/>
  <c r="D87" i="10"/>
  <c r="E87" i="10"/>
  <c r="F87" i="10"/>
  <c r="G87" i="10"/>
  <c r="H87" i="10"/>
  <c r="I87" i="10"/>
  <c r="J87" i="10"/>
  <c r="K87" i="10"/>
  <c r="L87" i="10"/>
  <c r="M87" i="10"/>
  <c r="N87" i="10"/>
  <c r="O87" i="10"/>
  <c r="P87" i="10"/>
  <c r="Q87" i="10"/>
  <c r="R87" i="10"/>
  <c r="S87" i="10"/>
  <c r="T87" i="10"/>
  <c r="U87" i="10"/>
  <c r="V87" i="10"/>
  <c r="Z87" i="10" s="1"/>
  <c r="AD87" i="10"/>
  <c r="A88" i="10"/>
  <c r="C88" i="10"/>
  <c r="D88" i="10"/>
  <c r="E88" i="10"/>
  <c r="F88" i="10"/>
  <c r="G88" i="10"/>
  <c r="H88" i="10"/>
  <c r="I88" i="10"/>
  <c r="J88" i="10"/>
  <c r="K88" i="10"/>
  <c r="L88" i="10"/>
  <c r="M88" i="10"/>
  <c r="N88" i="10"/>
  <c r="O88" i="10"/>
  <c r="P88" i="10"/>
  <c r="Q88" i="10"/>
  <c r="R88" i="10"/>
  <c r="S88" i="10"/>
  <c r="T88" i="10"/>
  <c r="U88" i="10"/>
  <c r="V88" i="10"/>
  <c r="Z88" i="10" s="1"/>
  <c r="AD88" i="10"/>
  <c r="A89" i="10"/>
  <c r="C89" i="10"/>
  <c r="D89" i="10"/>
  <c r="E89" i="10"/>
  <c r="F89" i="10"/>
  <c r="G89" i="10"/>
  <c r="H89" i="10"/>
  <c r="I89" i="10"/>
  <c r="J89" i="10"/>
  <c r="K89" i="10"/>
  <c r="L89" i="10"/>
  <c r="M89" i="10"/>
  <c r="N89" i="10"/>
  <c r="O89" i="10"/>
  <c r="P89" i="10"/>
  <c r="Q89" i="10"/>
  <c r="AI89" i="10" s="1"/>
  <c r="R89" i="10"/>
  <c r="S89" i="10"/>
  <c r="T89" i="10"/>
  <c r="U89" i="10"/>
  <c r="V89" i="10"/>
  <c r="Z89" i="10" s="1"/>
  <c r="AD89" i="10"/>
  <c r="A90" i="10"/>
  <c r="C90" i="10"/>
  <c r="D90" i="10"/>
  <c r="E90" i="10"/>
  <c r="F90" i="10"/>
  <c r="G90" i="10"/>
  <c r="H90" i="10"/>
  <c r="I90" i="10"/>
  <c r="J90" i="10"/>
  <c r="K90" i="10"/>
  <c r="L90" i="10"/>
  <c r="M90" i="10"/>
  <c r="N90" i="10"/>
  <c r="O90" i="10"/>
  <c r="P90" i="10"/>
  <c r="Q90" i="10"/>
  <c r="R90" i="10"/>
  <c r="S90" i="10"/>
  <c r="T90" i="10"/>
  <c r="U90" i="10"/>
  <c r="V90" i="10"/>
  <c r="Z90" i="10"/>
  <c r="AD90" i="10"/>
  <c r="AI90" i="10"/>
  <c r="A91" i="10"/>
  <c r="C91" i="10"/>
  <c r="D91" i="10"/>
  <c r="E91" i="10"/>
  <c r="F91" i="10"/>
  <c r="G91" i="10"/>
  <c r="H91" i="10"/>
  <c r="I91" i="10"/>
  <c r="J91" i="10"/>
  <c r="K91" i="10"/>
  <c r="L91" i="10"/>
  <c r="M91" i="10"/>
  <c r="N91" i="10"/>
  <c r="O91" i="10"/>
  <c r="P91" i="10"/>
  <c r="Q91" i="10"/>
  <c r="AI91" i="10" s="1"/>
  <c r="R91" i="10"/>
  <c r="S91" i="10"/>
  <c r="T91" i="10"/>
  <c r="U91" i="10"/>
  <c r="V91" i="10"/>
  <c r="Z91" i="10"/>
  <c r="AD91" i="10"/>
  <c r="A92" i="10"/>
  <c r="C92" i="10"/>
  <c r="D92" i="10"/>
  <c r="E92" i="10"/>
  <c r="F92" i="10"/>
  <c r="G92" i="10"/>
  <c r="H92" i="10"/>
  <c r="I92" i="10"/>
  <c r="J92" i="10"/>
  <c r="K92" i="10"/>
  <c r="L92" i="10"/>
  <c r="M92" i="10"/>
  <c r="N92" i="10"/>
  <c r="O92" i="10"/>
  <c r="P92" i="10"/>
  <c r="Q92" i="10"/>
  <c r="AI92" i="10" s="1"/>
  <c r="R92" i="10"/>
  <c r="S92" i="10"/>
  <c r="T92" i="10"/>
  <c r="U92" i="10"/>
  <c r="V92" i="10"/>
  <c r="Z92" i="10" s="1"/>
  <c r="AD92" i="10"/>
  <c r="A93" i="10"/>
  <c r="C93" i="10"/>
  <c r="D93" i="10"/>
  <c r="E93" i="10"/>
  <c r="F93" i="10"/>
  <c r="G93" i="10"/>
  <c r="H93" i="10"/>
  <c r="I93" i="10"/>
  <c r="J93" i="10"/>
  <c r="K93" i="10"/>
  <c r="L93" i="10"/>
  <c r="M93" i="10"/>
  <c r="N93" i="10"/>
  <c r="O93" i="10"/>
  <c r="P93" i="10"/>
  <c r="Q93" i="10"/>
  <c r="R93" i="10"/>
  <c r="S93" i="10"/>
  <c r="T93" i="10"/>
  <c r="U93" i="10"/>
  <c r="V93" i="10"/>
  <c r="Z93" i="10" s="1"/>
  <c r="AD93" i="10"/>
  <c r="A94" i="10"/>
  <c r="C94" i="10"/>
  <c r="D94" i="10"/>
  <c r="E94" i="10"/>
  <c r="F94" i="10"/>
  <c r="G94" i="10"/>
  <c r="H94" i="10"/>
  <c r="I94" i="10"/>
  <c r="J94" i="10"/>
  <c r="K94" i="10"/>
  <c r="L94" i="10"/>
  <c r="M94" i="10"/>
  <c r="N94" i="10"/>
  <c r="O94" i="10"/>
  <c r="P94" i="10"/>
  <c r="Q94" i="10"/>
  <c r="R94" i="10"/>
  <c r="S94" i="10"/>
  <c r="T94" i="10"/>
  <c r="U94" i="10"/>
  <c r="V94" i="10"/>
  <c r="Z94" i="10" s="1"/>
  <c r="AD94" i="10"/>
  <c r="A95" i="10"/>
  <c r="C95" i="10"/>
  <c r="D95" i="10"/>
  <c r="E95" i="10"/>
  <c r="F95" i="10"/>
  <c r="G95" i="10"/>
  <c r="H95" i="10"/>
  <c r="I95" i="10"/>
  <c r="J95" i="10"/>
  <c r="K95" i="10"/>
  <c r="L95" i="10"/>
  <c r="M95" i="10"/>
  <c r="N95" i="10"/>
  <c r="O95" i="10"/>
  <c r="P95" i="10"/>
  <c r="Q95" i="10"/>
  <c r="R95" i="10"/>
  <c r="S95" i="10"/>
  <c r="T95" i="10"/>
  <c r="U95" i="10"/>
  <c r="V95" i="10"/>
  <c r="Z95" i="10" s="1"/>
  <c r="AD95" i="10"/>
  <c r="A64" i="10"/>
  <c r="C64" i="10"/>
  <c r="D64" i="10"/>
  <c r="E64" i="10"/>
  <c r="F64" i="10"/>
  <c r="G64" i="10"/>
  <c r="H64" i="10"/>
  <c r="I64" i="10"/>
  <c r="J64" i="10"/>
  <c r="K64" i="10"/>
  <c r="L64" i="10"/>
  <c r="M64" i="10"/>
  <c r="N64" i="10"/>
  <c r="O64" i="10"/>
  <c r="P64" i="10"/>
  <c r="Q64" i="10"/>
  <c r="AI64" i="10" s="1"/>
  <c r="R64" i="10"/>
  <c r="S64" i="10"/>
  <c r="T64" i="10"/>
  <c r="Z64" i="10" s="1"/>
  <c r="U64" i="10"/>
  <c r="V64" i="10"/>
  <c r="AD64" i="10"/>
  <c r="BK64" i="10"/>
  <c r="BL64" i="10"/>
  <c r="BM64" i="10"/>
  <c r="BN64" i="10"/>
  <c r="BO64" i="10" s="1"/>
  <c r="BP64" i="10"/>
  <c r="A65" i="10"/>
  <c r="C65" i="10"/>
  <c r="D65" i="10"/>
  <c r="E65" i="10"/>
  <c r="F65" i="10"/>
  <c r="G65" i="10"/>
  <c r="H65" i="10"/>
  <c r="I65" i="10"/>
  <c r="J65" i="10"/>
  <c r="K65" i="10"/>
  <c r="L65" i="10"/>
  <c r="M65" i="10"/>
  <c r="N65" i="10"/>
  <c r="O65" i="10"/>
  <c r="P65" i="10"/>
  <c r="Q65" i="10"/>
  <c r="R65" i="10"/>
  <c r="S65" i="10"/>
  <c r="T65" i="10"/>
  <c r="Z65" i="10" s="1"/>
  <c r="U65" i="10"/>
  <c r="V65" i="10"/>
  <c r="AD65" i="10"/>
  <c r="A66" i="10"/>
  <c r="C66" i="10"/>
  <c r="D66" i="10"/>
  <c r="E66" i="10"/>
  <c r="F66" i="10"/>
  <c r="G66" i="10"/>
  <c r="H66" i="10"/>
  <c r="I66" i="10"/>
  <c r="J66" i="10"/>
  <c r="K66" i="10"/>
  <c r="L66" i="10"/>
  <c r="M66" i="10"/>
  <c r="N66" i="10"/>
  <c r="O66" i="10"/>
  <c r="P66" i="10"/>
  <c r="Q66" i="10"/>
  <c r="AI66" i="10" s="1"/>
  <c r="R66" i="10"/>
  <c r="S66" i="10"/>
  <c r="T66" i="10"/>
  <c r="Z66" i="10" s="1"/>
  <c r="U66" i="10"/>
  <c r="V66" i="10"/>
  <c r="AD66" i="10"/>
  <c r="BK66" i="10"/>
  <c r="BL66" i="10"/>
  <c r="BM66" i="10"/>
  <c r="BN66" i="10"/>
  <c r="BO66" i="10"/>
  <c r="BP66" i="10"/>
  <c r="A67" i="10"/>
  <c r="C67" i="10"/>
  <c r="D67" i="10"/>
  <c r="E67" i="10"/>
  <c r="F67" i="10"/>
  <c r="G67" i="10"/>
  <c r="H67" i="10"/>
  <c r="I67" i="10"/>
  <c r="J67" i="10"/>
  <c r="K67" i="10"/>
  <c r="L67" i="10"/>
  <c r="M67" i="10"/>
  <c r="N67" i="10"/>
  <c r="O67" i="10"/>
  <c r="P67" i="10"/>
  <c r="Q67" i="10"/>
  <c r="AI67" i="10" s="1"/>
  <c r="R67" i="10"/>
  <c r="S67" i="10"/>
  <c r="T67" i="10"/>
  <c r="Z67" i="10" s="1"/>
  <c r="U67" i="10"/>
  <c r="V67" i="10"/>
  <c r="AD67" i="10"/>
  <c r="A68" i="10"/>
  <c r="C68" i="10"/>
  <c r="D68" i="10"/>
  <c r="E68" i="10"/>
  <c r="F68" i="10"/>
  <c r="G68" i="10"/>
  <c r="H68" i="10"/>
  <c r="I68" i="10"/>
  <c r="J68" i="10"/>
  <c r="K68" i="10"/>
  <c r="L68" i="10"/>
  <c r="M68" i="10"/>
  <c r="N68" i="10"/>
  <c r="O68" i="10"/>
  <c r="P68" i="10"/>
  <c r="Q68" i="10"/>
  <c r="AI68" i="10" s="1"/>
  <c r="R68" i="10"/>
  <c r="S68" i="10"/>
  <c r="T68" i="10"/>
  <c r="Z68" i="10" s="1"/>
  <c r="U68" i="10"/>
  <c r="V68" i="10"/>
  <c r="AD68" i="10"/>
  <c r="BK68" i="10"/>
  <c r="BL68" i="10"/>
  <c r="BM68" i="10"/>
  <c r="BN68" i="10"/>
  <c r="BO68" i="10"/>
  <c r="BP68" i="10"/>
  <c r="A69" i="10"/>
  <c r="C69" i="10"/>
  <c r="D69" i="10"/>
  <c r="E69" i="10"/>
  <c r="F69" i="10"/>
  <c r="G69" i="10"/>
  <c r="H69" i="10"/>
  <c r="I69" i="10"/>
  <c r="J69" i="10"/>
  <c r="K69" i="10"/>
  <c r="L69" i="10"/>
  <c r="M69" i="10"/>
  <c r="N69" i="10"/>
  <c r="O69" i="10"/>
  <c r="P69" i="10"/>
  <c r="Q69" i="10"/>
  <c r="R69" i="10"/>
  <c r="S69" i="10"/>
  <c r="T69" i="10"/>
  <c r="Z69" i="10" s="1"/>
  <c r="U69" i="10"/>
  <c r="V69" i="10"/>
  <c r="AD69" i="10"/>
  <c r="A70" i="10"/>
  <c r="C70" i="10"/>
  <c r="D70" i="10"/>
  <c r="E70" i="10"/>
  <c r="F70" i="10"/>
  <c r="G70" i="10"/>
  <c r="H70" i="10"/>
  <c r="I70" i="10"/>
  <c r="J70" i="10"/>
  <c r="K70" i="10"/>
  <c r="L70" i="10"/>
  <c r="M70" i="10"/>
  <c r="N70" i="10"/>
  <c r="O70" i="10"/>
  <c r="P70" i="10"/>
  <c r="Q70" i="10"/>
  <c r="R70" i="10"/>
  <c r="S70" i="10"/>
  <c r="T70" i="10"/>
  <c r="Z70" i="10" s="1"/>
  <c r="U70" i="10"/>
  <c r="V70" i="10"/>
  <c r="AD70" i="10"/>
  <c r="AI70" i="10"/>
  <c r="BK70" i="10"/>
  <c r="BL70" i="10"/>
  <c r="BM70" i="10"/>
  <c r="BN70" i="10"/>
  <c r="BO70" i="10" s="1"/>
  <c r="BP70" i="10"/>
  <c r="A71" i="10"/>
  <c r="C71" i="10"/>
  <c r="D71" i="10"/>
  <c r="E71" i="10"/>
  <c r="F71" i="10"/>
  <c r="G71" i="10"/>
  <c r="H71" i="10"/>
  <c r="I71" i="10"/>
  <c r="J71" i="10"/>
  <c r="K71" i="10"/>
  <c r="L71" i="10"/>
  <c r="M71" i="10"/>
  <c r="N71" i="10"/>
  <c r="O71" i="10"/>
  <c r="P71" i="10"/>
  <c r="Q71" i="10"/>
  <c r="R71" i="10"/>
  <c r="S71" i="10"/>
  <c r="T71" i="10"/>
  <c r="Z71" i="10" s="1"/>
  <c r="U71" i="10"/>
  <c r="V71" i="10"/>
  <c r="AD71" i="10"/>
  <c r="A72" i="10"/>
  <c r="C72" i="10"/>
  <c r="D72" i="10"/>
  <c r="E72" i="10"/>
  <c r="F72" i="10"/>
  <c r="G72" i="10"/>
  <c r="H72" i="10"/>
  <c r="I72" i="10"/>
  <c r="J72" i="10"/>
  <c r="K72" i="10"/>
  <c r="L72" i="10"/>
  <c r="M72" i="10"/>
  <c r="N72" i="10"/>
  <c r="O72" i="10"/>
  <c r="P72" i="10"/>
  <c r="Q72" i="10"/>
  <c r="R72" i="10"/>
  <c r="S72" i="10"/>
  <c r="T72" i="10"/>
  <c r="Z72" i="10" s="1"/>
  <c r="U72" i="10"/>
  <c r="V72" i="10"/>
  <c r="AD72" i="10"/>
  <c r="BK72" i="10"/>
  <c r="BL72" i="10"/>
  <c r="BM72" i="10"/>
  <c r="BN72" i="10"/>
  <c r="BO72" i="10"/>
  <c r="BP72" i="10"/>
  <c r="A73" i="10"/>
  <c r="C73" i="10"/>
  <c r="D73" i="10"/>
  <c r="E73" i="10"/>
  <c r="F73" i="10"/>
  <c r="G73" i="10"/>
  <c r="H73" i="10"/>
  <c r="I73" i="10"/>
  <c r="J73" i="10"/>
  <c r="K73" i="10"/>
  <c r="L73" i="10"/>
  <c r="M73" i="10"/>
  <c r="N73" i="10"/>
  <c r="O73" i="10"/>
  <c r="P73" i="10"/>
  <c r="Q73" i="10"/>
  <c r="AI73" i="10" s="1"/>
  <c r="R73" i="10"/>
  <c r="S73" i="10"/>
  <c r="T73" i="10"/>
  <c r="Z73" i="10" s="1"/>
  <c r="U73" i="10"/>
  <c r="V73" i="10"/>
  <c r="AD73" i="10"/>
  <c r="A74" i="10"/>
  <c r="C74" i="10"/>
  <c r="D74" i="10"/>
  <c r="E74" i="10"/>
  <c r="F74" i="10"/>
  <c r="G74" i="10"/>
  <c r="H74" i="10"/>
  <c r="I74" i="10"/>
  <c r="J74" i="10"/>
  <c r="K74" i="10"/>
  <c r="L74" i="10"/>
  <c r="M74" i="10"/>
  <c r="N74" i="10"/>
  <c r="O74" i="10"/>
  <c r="P74" i="10"/>
  <c r="Q74" i="10"/>
  <c r="R74" i="10"/>
  <c r="S74" i="10"/>
  <c r="T74" i="10"/>
  <c r="Z74" i="10" s="1"/>
  <c r="U74" i="10"/>
  <c r="V74" i="10"/>
  <c r="AD74" i="10"/>
  <c r="BK74" i="10"/>
  <c r="BL74" i="10"/>
  <c r="BM74" i="10"/>
  <c r="BN74" i="10"/>
  <c r="BO74" i="10" s="1"/>
  <c r="BP74" i="10"/>
  <c r="A75" i="10"/>
  <c r="C75" i="10"/>
  <c r="D75" i="10"/>
  <c r="E75" i="10"/>
  <c r="F75" i="10"/>
  <c r="G75" i="10"/>
  <c r="H75" i="10"/>
  <c r="I75" i="10"/>
  <c r="J75" i="10"/>
  <c r="K75" i="10"/>
  <c r="L75" i="10"/>
  <c r="M75" i="10"/>
  <c r="N75" i="10"/>
  <c r="O75" i="10"/>
  <c r="P75" i="10"/>
  <c r="Q75" i="10"/>
  <c r="R75" i="10"/>
  <c r="S75" i="10"/>
  <c r="T75" i="10"/>
  <c r="Z75" i="10" s="1"/>
  <c r="U75" i="10"/>
  <c r="V75" i="10"/>
  <c r="AD75" i="10"/>
  <c r="A43" i="10"/>
  <c r="C43" i="10"/>
  <c r="D43" i="10"/>
  <c r="E43" i="10"/>
  <c r="F43" i="10"/>
  <c r="G43" i="10"/>
  <c r="H43" i="10"/>
  <c r="I43" i="10"/>
  <c r="J43" i="10"/>
  <c r="K43" i="10"/>
  <c r="L43" i="10"/>
  <c r="M43" i="10"/>
  <c r="N43" i="10"/>
  <c r="O43" i="10"/>
  <c r="P43" i="10"/>
  <c r="Q43" i="10"/>
  <c r="AI43" i="10" s="1"/>
  <c r="R43" i="10"/>
  <c r="S43" i="10"/>
  <c r="T43" i="10"/>
  <c r="U43" i="10"/>
  <c r="V43" i="10"/>
  <c r="Z43" i="10" s="1"/>
  <c r="AD43" i="10"/>
  <c r="A44" i="10"/>
  <c r="C44" i="10"/>
  <c r="D44" i="10"/>
  <c r="E44" i="10"/>
  <c r="F44" i="10"/>
  <c r="G44" i="10"/>
  <c r="H44" i="10"/>
  <c r="I44" i="10"/>
  <c r="J44" i="10"/>
  <c r="K44" i="10"/>
  <c r="L44" i="10"/>
  <c r="M44" i="10"/>
  <c r="AI44" i="10" s="1"/>
  <c r="N44" i="10"/>
  <c r="O44" i="10"/>
  <c r="P44" i="10"/>
  <c r="Q44" i="10"/>
  <c r="R44" i="10"/>
  <c r="S44" i="10"/>
  <c r="T44" i="10"/>
  <c r="U44" i="10"/>
  <c r="V44" i="10"/>
  <c r="Z44" i="10" s="1"/>
  <c r="AD44" i="10"/>
  <c r="A45" i="10"/>
  <c r="C45" i="10"/>
  <c r="D45" i="10"/>
  <c r="E45" i="10"/>
  <c r="F45" i="10"/>
  <c r="G45" i="10"/>
  <c r="H45" i="10"/>
  <c r="I45" i="10"/>
  <c r="J45" i="10"/>
  <c r="K45" i="10"/>
  <c r="L45" i="10"/>
  <c r="M45" i="10"/>
  <c r="N45" i="10"/>
  <c r="O45" i="10"/>
  <c r="P45" i="10"/>
  <c r="Q45" i="10"/>
  <c r="AI45" i="10" s="1"/>
  <c r="R45" i="10"/>
  <c r="S45" i="10"/>
  <c r="T45" i="10"/>
  <c r="U45" i="10"/>
  <c r="V45" i="10"/>
  <c r="Z45" i="10" s="1"/>
  <c r="AD45" i="10"/>
  <c r="A46" i="10"/>
  <c r="C46" i="10"/>
  <c r="D46" i="10"/>
  <c r="E46" i="10"/>
  <c r="F46" i="10"/>
  <c r="G46" i="10"/>
  <c r="H46" i="10"/>
  <c r="I46" i="10"/>
  <c r="J46" i="10"/>
  <c r="K46" i="10"/>
  <c r="L46" i="10"/>
  <c r="M46" i="10"/>
  <c r="N46" i="10"/>
  <c r="O46" i="10"/>
  <c r="P46" i="10"/>
  <c r="Q46" i="10"/>
  <c r="R46" i="10"/>
  <c r="S46" i="10"/>
  <c r="T46" i="10"/>
  <c r="U46" i="10"/>
  <c r="V46" i="10"/>
  <c r="Z46" i="10" s="1"/>
  <c r="AD46" i="10"/>
  <c r="A47" i="10"/>
  <c r="C47" i="10"/>
  <c r="D47" i="10"/>
  <c r="E47" i="10"/>
  <c r="F47" i="10"/>
  <c r="G47" i="10"/>
  <c r="H47" i="10"/>
  <c r="I47" i="10"/>
  <c r="J47" i="10"/>
  <c r="K47" i="10"/>
  <c r="L47" i="10"/>
  <c r="M47" i="10"/>
  <c r="N47" i="10"/>
  <c r="O47" i="10"/>
  <c r="P47" i="10"/>
  <c r="Q47" i="10"/>
  <c r="AI47" i="10" s="1"/>
  <c r="R47" i="10"/>
  <c r="S47" i="10"/>
  <c r="T47" i="10"/>
  <c r="U47" i="10"/>
  <c r="V47" i="10"/>
  <c r="Z47" i="10" s="1"/>
  <c r="AD47" i="10"/>
  <c r="A48" i="10"/>
  <c r="C48" i="10"/>
  <c r="D48" i="10"/>
  <c r="E48" i="10"/>
  <c r="F48" i="10"/>
  <c r="G48" i="10"/>
  <c r="H48" i="10"/>
  <c r="I48" i="10"/>
  <c r="J48" i="10"/>
  <c r="K48" i="10"/>
  <c r="L48" i="10"/>
  <c r="M48" i="10"/>
  <c r="N48" i="10"/>
  <c r="O48" i="10"/>
  <c r="P48" i="10"/>
  <c r="Q48" i="10"/>
  <c r="AI48" i="10" s="1"/>
  <c r="R48" i="10"/>
  <c r="S48" i="10"/>
  <c r="T48" i="10"/>
  <c r="U48" i="10"/>
  <c r="V48" i="10"/>
  <c r="Z48" i="10" s="1"/>
  <c r="AD48" i="10"/>
  <c r="A49" i="10"/>
  <c r="C49" i="10"/>
  <c r="D49" i="10"/>
  <c r="E49" i="10"/>
  <c r="F49" i="10"/>
  <c r="G49" i="10"/>
  <c r="H49" i="10"/>
  <c r="I49" i="10"/>
  <c r="J49" i="10"/>
  <c r="K49" i="10"/>
  <c r="L49" i="10"/>
  <c r="M49" i="10"/>
  <c r="N49" i="10"/>
  <c r="O49" i="10"/>
  <c r="P49" i="10"/>
  <c r="Q49" i="10"/>
  <c r="AI49" i="10" s="1"/>
  <c r="R49" i="10"/>
  <c r="S49" i="10"/>
  <c r="T49" i="10"/>
  <c r="U49" i="10"/>
  <c r="V49" i="10"/>
  <c r="Z49" i="10" s="1"/>
  <c r="AD49" i="10"/>
  <c r="A50" i="10"/>
  <c r="C50" i="10"/>
  <c r="D50" i="10"/>
  <c r="E50" i="10"/>
  <c r="F50" i="10"/>
  <c r="G50" i="10"/>
  <c r="H50" i="10"/>
  <c r="I50" i="10"/>
  <c r="J50" i="10"/>
  <c r="K50" i="10"/>
  <c r="L50" i="10"/>
  <c r="M50" i="10"/>
  <c r="N50" i="10"/>
  <c r="O50" i="10"/>
  <c r="P50" i="10"/>
  <c r="Q50" i="10"/>
  <c r="R50" i="10"/>
  <c r="S50" i="10"/>
  <c r="T50" i="10"/>
  <c r="U50" i="10"/>
  <c r="V50" i="10"/>
  <c r="Z50" i="10" s="1"/>
  <c r="AD50" i="10"/>
  <c r="A51" i="10"/>
  <c r="C51" i="10"/>
  <c r="D51" i="10"/>
  <c r="E51" i="10"/>
  <c r="F51" i="10"/>
  <c r="G51" i="10"/>
  <c r="H51" i="10"/>
  <c r="I51" i="10"/>
  <c r="J51" i="10"/>
  <c r="K51" i="10"/>
  <c r="L51" i="10"/>
  <c r="M51" i="10"/>
  <c r="N51" i="10"/>
  <c r="O51" i="10"/>
  <c r="P51" i="10"/>
  <c r="Q51" i="10"/>
  <c r="R51" i="10"/>
  <c r="S51" i="10"/>
  <c r="T51" i="10"/>
  <c r="U51" i="10"/>
  <c r="V51" i="10"/>
  <c r="Z51" i="10" s="1"/>
  <c r="AD51" i="10"/>
  <c r="A52" i="10"/>
  <c r="C52" i="10"/>
  <c r="D52" i="10"/>
  <c r="E52" i="10"/>
  <c r="F52" i="10"/>
  <c r="G52" i="10"/>
  <c r="H52" i="10"/>
  <c r="I52" i="10"/>
  <c r="J52" i="10"/>
  <c r="K52" i="10"/>
  <c r="L52" i="10"/>
  <c r="M52" i="10"/>
  <c r="N52" i="10"/>
  <c r="O52" i="10"/>
  <c r="P52" i="10"/>
  <c r="Q52" i="10"/>
  <c r="AI52" i="10" s="1"/>
  <c r="R52" i="10"/>
  <c r="S52" i="10"/>
  <c r="T52" i="10"/>
  <c r="U52" i="10"/>
  <c r="V52" i="10"/>
  <c r="Z52" i="10" s="1"/>
  <c r="AD52" i="10"/>
  <c r="A53" i="10"/>
  <c r="C53" i="10"/>
  <c r="D53" i="10"/>
  <c r="E53" i="10"/>
  <c r="F53" i="10"/>
  <c r="G53" i="10"/>
  <c r="H53" i="10"/>
  <c r="I53" i="10"/>
  <c r="J53" i="10"/>
  <c r="K53" i="10"/>
  <c r="L53" i="10"/>
  <c r="M53" i="10"/>
  <c r="N53" i="10"/>
  <c r="O53" i="10"/>
  <c r="P53" i="10"/>
  <c r="Q53" i="10"/>
  <c r="AI53" i="10" s="1"/>
  <c r="R53" i="10"/>
  <c r="S53" i="10"/>
  <c r="T53" i="10"/>
  <c r="U53" i="10"/>
  <c r="V53" i="10"/>
  <c r="Z53" i="10" s="1"/>
  <c r="AD53" i="10"/>
  <c r="A54" i="10"/>
  <c r="C54" i="10"/>
  <c r="D54" i="10"/>
  <c r="E54" i="10"/>
  <c r="F54" i="10"/>
  <c r="G54" i="10"/>
  <c r="H54" i="10"/>
  <c r="I54" i="10"/>
  <c r="J54" i="10"/>
  <c r="K54" i="10"/>
  <c r="L54" i="10"/>
  <c r="M54" i="10"/>
  <c r="N54" i="10"/>
  <c r="O54" i="10"/>
  <c r="P54" i="10"/>
  <c r="Q54" i="10"/>
  <c r="R54" i="10"/>
  <c r="S54" i="10"/>
  <c r="T54" i="10"/>
  <c r="U54" i="10"/>
  <c r="V54" i="10"/>
  <c r="Z54" i="10" s="1"/>
  <c r="AD54" i="10"/>
  <c r="A5" i="10"/>
  <c r="C5" i="10"/>
  <c r="D5" i="10"/>
  <c r="E5" i="10"/>
  <c r="F5" i="10"/>
  <c r="G5" i="10"/>
  <c r="H5" i="10"/>
  <c r="I5" i="10"/>
  <c r="J5" i="10"/>
  <c r="K5" i="10"/>
  <c r="L5" i="10"/>
  <c r="M5" i="10"/>
  <c r="N5" i="10"/>
  <c r="O5" i="10"/>
  <c r="AI5" i="10" s="1"/>
  <c r="P5" i="10"/>
  <c r="Q5" i="10"/>
  <c r="AN5" i="10" s="1"/>
  <c r="R5" i="10"/>
  <c r="S5" i="10"/>
  <c r="T5" i="10"/>
  <c r="Z5" i="10" s="1"/>
  <c r="U5" i="10"/>
  <c r="V5" i="10"/>
  <c r="AD5" i="10"/>
  <c r="A6" i="10"/>
  <c r="C6" i="10"/>
  <c r="D6" i="10"/>
  <c r="E6" i="10"/>
  <c r="F6" i="10"/>
  <c r="G6" i="10"/>
  <c r="H6" i="10"/>
  <c r="I6" i="10"/>
  <c r="J6" i="10"/>
  <c r="K6" i="10"/>
  <c r="L6" i="10"/>
  <c r="M6" i="10"/>
  <c r="N6" i="10"/>
  <c r="O6" i="10"/>
  <c r="AI6" i="10" s="1"/>
  <c r="P6" i="10"/>
  <c r="Q6" i="10"/>
  <c r="R6" i="10"/>
  <c r="S6" i="10"/>
  <c r="T6" i="10"/>
  <c r="Z6" i="10" s="1"/>
  <c r="U6" i="10"/>
  <c r="V6" i="10"/>
  <c r="AD6" i="10"/>
  <c r="AN6" i="10"/>
  <c r="A7" i="10"/>
  <c r="C7" i="10"/>
  <c r="D7" i="10"/>
  <c r="E7" i="10"/>
  <c r="F7" i="10"/>
  <c r="G7" i="10"/>
  <c r="H7" i="10"/>
  <c r="I7" i="10"/>
  <c r="J7" i="10"/>
  <c r="K7" i="10"/>
  <c r="L7" i="10"/>
  <c r="M7" i="10"/>
  <c r="N7" i="10"/>
  <c r="O7" i="10"/>
  <c r="AI7" i="10" s="1"/>
  <c r="P7" i="10"/>
  <c r="Q7" i="10"/>
  <c r="R7" i="10"/>
  <c r="S7" i="10"/>
  <c r="T7" i="10"/>
  <c r="Z7" i="10" s="1"/>
  <c r="U7" i="10"/>
  <c r="V7" i="10"/>
  <c r="AD7" i="10"/>
  <c r="AN7" i="10"/>
  <c r="A8" i="10"/>
  <c r="C8" i="10"/>
  <c r="D8" i="10"/>
  <c r="E8" i="10"/>
  <c r="F8" i="10"/>
  <c r="G8" i="10"/>
  <c r="H8" i="10"/>
  <c r="I8" i="10"/>
  <c r="J8" i="10"/>
  <c r="K8" i="10"/>
  <c r="L8" i="10"/>
  <c r="M8" i="10"/>
  <c r="N8" i="10"/>
  <c r="O8" i="10"/>
  <c r="P8" i="10"/>
  <c r="Q8" i="10"/>
  <c r="AN8" i="10" s="1"/>
  <c r="AO8" i="10" s="1"/>
  <c r="R8" i="10"/>
  <c r="S8" i="10"/>
  <c r="T8" i="10"/>
  <c r="Z8" i="10" s="1"/>
  <c r="U8" i="10"/>
  <c r="V8" i="10"/>
  <c r="AD8" i="10"/>
  <c r="AI8" i="10"/>
  <c r="A9" i="10"/>
  <c r="C9" i="10"/>
  <c r="D9" i="10"/>
  <c r="E9" i="10"/>
  <c r="F9" i="10"/>
  <c r="G9" i="10"/>
  <c r="H9" i="10"/>
  <c r="I9" i="10"/>
  <c r="J9" i="10"/>
  <c r="K9" i="10"/>
  <c r="L9" i="10"/>
  <c r="M9" i="10"/>
  <c r="N9" i="10"/>
  <c r="O9" i="10"/>
  <c r="P9" i="10"/>
  <c r="Q9" i="10"/>
  <c r="AN9" i="10" s="1"/>
  <c r="R9" i="10"/>
  <c r="S9" i="10"/>
  <c r="T9" i="10"/>
  <c r="Z9" i="10" s="1"/>
  <c r="U9" i="10"/>
  <c r="V9" i="10"/>
  <c r="AD9" i="10"/>
  <c r="AI9" i="10"/>
  <c r="A10" i="10"/>
  <c r="C10" i="10"/>
  <c r="D10" i="10"/>
  <c r="E10" i="10"/>
  <c r="F10" i="10"/>
  <c r="G10" i="10"/>
  <c r="H10" i="10"/>
  <c r="I10" i="10"/>
  <c r="J10" i="10"/>
  <c r="K10" i="10"/>
  <c r="L10" i="10"/>
  <c r="M10" i="10"/>
  <c r="N10" i="10"/>
  <c r="O10" i="10"/>
  <c r="AI10" i="10" s="1"/>
  <c r="P10" i="10"/>
  <c r="Q10" i="10"/>
  <c r="AN10" i="10" s="1"/>
  <c r="R10" i="10"/>
  <c r="S10" i="10"/>
  <c r="T10" i="10"/>
  <c r="Z10" i="10" s="1"/>
  <c r="U10" i="10"/>
  <c r="V10" i="10"/>
  <c r="AD10" i="10"/>
  <c r="A11" i="10"/>
  <c r="C11" i="10"/>
  <c r="D11" i="10"/>
  <c r="E11" i="10"/>
  <c r="F11" i="10"/>
  <c r="G11" i="10"/>
  <c r="H11" i="10"/>
  <c r="I11" i="10"/>
  <c r="J11" i="10"/>
  <c r="K11" i="10"/>
  <c r="L11" i="10"/>
  <c r="M11" i="10"/>
  <c r="N11" i="10"/>
  <c r="O11" i="10"/>
  <c r="AI11" i="10" s="1"/>
  <c r="P11" i="10"/>
  <c r="Q11" i="10"/>
  <c r="AN11" i="10" s="1"/>
  <c r="R11" i="10"/>
  <c r="S11" i="10"/>
  <c r="T11" i="10"/>
  <c r="Z11" i="10" s="1"/>
  <c r="U11" i="10"/>
  <c r="V11" i="10"/>
  <c r="AD11" i="10"/>
  <c r="A12" i="10"/>
  <c r="C12" i="10"/>
  <c r="D12" i="10"/>
  <c r="E12" i="10"/>
  <c r="F12" i="10"/>
  <c r="G12" i="10"/>
  <c r="H12" i="10"/>
  <c r="I12" i="10"/>
  <c r="J12" i="10"/>
  <c r="K12" i="10"/>
  <c r="L12" i="10"/>
  <c r="M12" i="10"/>
  <c r="N12" i="10"/>
  <c r="O12" i="10"/>
  <c r="AI12" i="10" s="1"/>
  <c r="P12" i="10"/>
  <c r="Q12" i="10"/>
  <c r="AN12" i="10" s="1"/>
  <c r="R12" i="10"/>
  <c r="S12" i="10"/>
  <c r="T12" i="10"/>
  <c r="Z12" i="10" s="1"/>
  <c r="U12" i="10"/>
  <c r="V12" i="10"/>
  <c r="AD12" i="10"/>
  <c r="A13" i="10"/>
  <c r="C13" i="10"/>
  <c r="D13" i="10"/>
  <c r="E13" i="10"/>
  <c r="F13" i="10"/>
  <c r="G13" i="10"/>
  <c r="H13" i="10"/>
  <c r="I13" i="10"/>
  <c r="J13" i="10"/>
  <c r="K13" i="10"/>
  <c r="L13" i="10"/>
  <c r="M13" i="10"/>
  <c r="N13" i="10"/>
  <c r="O13" i="10"/>
  <c r="AI13" i="10" s="1"/>
  <c r="P13" i="10"/>
  <c r="Q13" i="10"/>
  <c r="AN13" i="10" s="1"/>
  <c r="R13" i="10"/>
  <c r="S13" i="10"/>
  <c r="T13" i="10"/>
  <c r="U13" i="10"/>
  <c r="V13" i="10"/>
  <c r="Z13" i="10"/>
  <c r="AD13" i="10"/>
  <c r="A14" i="10"/>
  <c r="C14" i="10"/>
  <c r="D14" i="10"/>
  <c r="E14" i="10"/>
  <c r="F14" i="10"/>
  <c r="G14" i="10"/>
  <c r="H14" i="10"/>
  <c r="I14" i="10"/>
  <c r="J14" i="10"/>
  <c r="K14" i="10"/>
  <c r="L14" i="10"/>
  <c r="M14" i="10"/>
  <c r="N14" i="10"/>
  <c r="O14" i="10"/>
  <c r="AI14" i="10" s="1"/>
  <c r="P14" i="10"/>
  <c r="Q14" i="10"/>
  <c r="AN14" i="10" s="1"/>
  <c r="R14" i="10"/>
  <c r="S14" i="10"/>
  <c r="T14" i="10"/>
  <c r="U14" i="10"/>
  <c r="V14" i="10"/>
  <c r="Z14" i="10"/>
  <c r="AD14" i="10"/>
  <c r="A15" i="10"/>
  <c r="C15" i="10"/>
  <c r="D15" i="10"/>
  <c r="E15" i="10"/>
  <c r="F15" i="10"/>
  <c r="G15" i="10"/>
  <c r="H15" i="10"/>
  <c r="I15" i="10"/>
  <c r="J15" i="10"/>
  <c r="K15" i="10"/>
  <c r="L15" i="10"/>
  <c r="M15" i="10"/>
  <c r="N15" i="10"/>
  <c r="O15" i="10"/>
  <c r="AI15" i="10" s="1"/>
  <c r="P15" i="10"/>
  <c r="Q15" i="10"/>
  <c r="R15" i="10"/>
  <c r="S15" i="10"/>
  <c r="T15" i="10"/>
  <c r="Z15" i="10" s="1"/>
  <c r="U15" i="10"/>
  <c r="V15" i="10"/>
  <c r="AD15" i="10"/>
  <c r="AN15" i="10"/>
  <c r="A16" i="10"/>
  <c r="C16" i="10"/>
  <c r="D16" i="10"/>
  <c r="E16" i="10"/>
  <c r="F16" i="10"/>
  <c r="G16" i="10"/>
  <c r="H16" i="10"/>
  <c r="I16" i="10"/>
  <c r="J16" i="10"/>
  <c r="K16" i="10"/>
  <c r="L16" i="10"/>
  <c r="M16" i="10"/>
  <c r="N16" i="10"/>
  <c r="O16" i="10"/>
  <c r="AI16" i="10" s="1"/>
  <c r="P16" i="10"/>
  <c r="Q16" i="10"/>
  <c r="AN16" i="10" s="1"/>
  <c r="R16" i="10"/>
  <c r="S16" i="10"/>
  <c r="T16" i="10"/>
  <c r="Z16" i="10" s="1"/>
  <c r="U16" i="10"/>
  <c r="V16" i="10"/>
  <c r="AD16" i="10"/>
  <c r="AI215" i="10" l="1"/>
  <c r="AI189" i="10"/>
  <c r="AI133" i="10"/>
  <c r="AI309" i="10"/>
  <c r="AI306" i="10"/>
  <c r="AI285" i="10"/>
  <c r="AI281" i="10"/>
  <c r="AI145" i="10"/>
  <c r="AI303" i="10"/>
  <c r="AI297" i="10"/>
  <c r="AI171" i="10"/>
  <c r="AI154" i="10"/>
  <c r="AI143" i="10"/>
  <c r="AI137" i="10"/>
  <c r="AI50" i="10"/>
  <c r="AI74" i="10"/>
  <c r="AI71" i="10"/>
  <c r="AI93" i="10"/>
  <c r="AI87" i="10"/>
  <c r="AI378" i="10"/>
  <c r="AI374" i="10"/>
  <c r="AI372" i="10"/>
  <c r="AI347" i="10"/>
  <c r="AI344" i="10"/>
  <c r="AI329" i="10"/>
  <c r="AI307" i="10"/>
  <c r="AI238" i="10"/>
  <c r="AI174" i="10"/>
  <c r="AI160" i="10"/>
  <c r="AI157" i="10"/>
  <c r="AI146" i="10"/>
  <c r="AI51" i="10"/>
  <c r="AI46" i="10"/>
  <c r="AI65" i="10"/>
  <c r="AI367" i="10"/>
  <c r="AI351" i="10"/>
  <c r="AI341" i="10"/>
  <c r="AI335" i="10"/>
  <c r="AI332" i="10"/>
  <c r="AI326" i="10"/>
  <c r="AI251" i="10"/>
  <c r="AI224" i="10"/>
  <c r="AI169" i="10"/>
  <c r="AI166" i="10"/>
  <c r="AI132" i="10"/>
  <c r="AI72" i="10"/>
  <c r="AI94" i="10"/>
  <c r="AI88" i="10"/>
  <c r="AI381" i="10"/>
  <c r="AI363" i="10"/>
  <c r="AI359" i="10"/>
  <c r="AI355" i="10"/>
  <c r="AI323" i="10"/>
  <c r="AI319" i="10"/>
  <c r="AI315" i="10"/>
  <c r="AI311" i="10"/>
  <c r="AI308" i="10"/>
  <c r="AI292" i="10"/>
  <c r="AI267" i="10"/>
  <c r="AI242" i="10"/>
  <c r="AI232" i="10"/>
  <c r="AI228" i="10"/>
  <c r="AI221" i="10"/>
  <c r="AI181" i="10"/>
  <c r="AI178" i="10"/>
  <c r="AI338" i="10"/>
  <c r="AI330" i="10"/>
  <c r="AI382" i="10"/>
  <c r="AI380" i="10"/>
  <c r="AI369" i="10"/>
  <c r="AI276" i="10"/>
  <c r="AI260" i="10"/>
  <c r="AI257" i="10"/>
  <c r="AI254" i="10"/>
  <c r="AI252" i="10"/>
  <c r="AI249" i="10"/>
  <c r="AI248" i="10"/>
  <c r="AI245" i="10"/>
  <c r="AI216" i="10"/>
  <c r="AI214" i="10"/>
  <c r="AI212" i="10"/>
  <c r="AI211" i="10"/>
  <c r="AI208" i="10"/>
  <c r="AI207" i="10"/>
  <c r="AI205" i="10"/>
  <c r="AI202" i="10"/>
  <c r="AI199" i="10"/>
  <c r="AI198" i="10"/>
  <c r="AI195" i="10"/>
  <c r="AI192" i="10"/>
  <c r="AI191" i="10"/>
  <c r="AI188" i="10"/>
  <c r="AI187" i="10"/>
  <c r="AI185" i="10"/>
  <c r="AI182" i="10"/>
  <c r="AI163" i="10"/>
  <c r="AI161" i="10"/>
  <c r="AI155" i="10"/>
  <c r="AI152" i="10"/>
  <c r="AI147" i="10"/>
  <c r="AI144" i="10"/>
  <c r="AI142" i="10"/>
  <c r="AI130" i="10"/>
  <c r="AI95" i="10"/>
  <c r="AI75" i="10"/>
  <c r="AI69" i="10"/>
  <c r="AI54" i="10"/>
  <c r="AO16" i="10"/>
  <c r="AO12" i="10"/>
  <c r="AO10" i="10"/>
  <c r="AO9" i="10"/>
  <c r="AI300" i="10"/>
  <c r="AO15" i="10"/>
  <c r="AO14" i="10"/>
  <c r="AO13" i="10"/>
  <c r="AO11" i="10"/>
  <c r="AO7" i="10"/>
  <c r="AO6" i="10"/>
  <c r="AI217" i="10"/>
  <c r="AI213" i="10"/>
  <c r="AO5" i="10"/>
  <c r="AR27" i="10"/>
  <c r="O197" i="11"/>
  <c r="P197" i="11"/>
  <c r="Q197" i="11"/>
  <c r="R197" i="11"/>
  <c r="O198" i="11"/>
  <c r="P198" i="11"/>
  <c r="Q198" i="11"/>
  <c r="R198" i="11"/>
  <c r="O199" i="11"/>
  <c r="P199" i="11"/>
  <c r="Q199" i="11"/>
  <c r="R199" i="11"/>
  <c r="O200" i="11"/>
  <c r="P200" i="11"/>
  <c r="Q200" i="11"/>
  <c r="R200" i="11"/>
  <c r="O201" i="11"/>
  <c r="P201" i="11"/>
  <c r="Q201" i="11"/>
  <c r="R201" i="11"/>
  <c r="O202" i="11"/>
  <c r="P202" i="11"/>
  <c r="Q202" i="11"/>
  <c r="R202" i="11"/>
  <c r="O203" i="11"/>
  <c r="P203" i="11"/>
  <c r="Q203" i="11"/>
  <c r="R203" i="11"/>
  <c r="O204" i="11"/>
  <c r="P204" i="11"/>
  <c r="Q204" i="11"/>
  <c r="R204" i="11"/>
  <c r="O205" i="11"/>
  <c r="P205" i="11"/>
  <c r="Q205" i="11"/>
  <c r="R205" i="11"/>
  <c r="O206" i="11"/>
  <c r="P206" i="11"/>
  <c r="Q206" i="11"/>
  <c r="R206" i="11"/>
  <c r="O207" i="11"/>
  <c r="P207" i="11"/>
  <c r="Q207" i="11"/>
  <c r="R207" i="11"/>
  <c r="O208" i="11"/>
  <c r="P208" i="11"/>
  <c r="Q208" i="11"/>
  <c r="R208" i="11"/>
  <c r="O209" i="11"/>
  <c r="P209" i="11"/>
  <c r="Q209" i="11"/>
  <c r="R209" i="11"/>
  <c r="O210" i="11"/>
  <c r="P210" i="11"/>
  <c r="Q210" i="11"/>
  <c r="R210" i="11"/>
  <c r="O211" i="11"/>
  <c r="P211" i="11"/>
  <c r="Q211" i="11"/>
  <c r="R211" i="11"/>
  <c r="O212" i="11"/>
  <c r="P212" i="11"/>
  <c r="Q212" i="11"/>
  <c r="R212" i="11"/>
  <c r="O213" i="11"/>
  <c r="P213" i="11"/>
  <c r="Q213" i="11"/>
  <c r="R213" i="11"/>
  <c r="O214" i="11"/>
  <c r="P214" i="11"/>
  <c r="Q214" i="11"/>
  <c r="R214" i="11"/>
  <c r="O215" i="11"/>
  <c r="P215" i="11"/>
  <c r="Q215" i="11"/>
  <c r="R215" i="11"/>
  <c r="AD131" i="10" l="1"/>
  <c r="AD133" i="10"/>
  <c r="AD135" i="10"/>
  <c r="AD137" i="10"/>
  <c r="AD139" i="10"/>
  <c r="AD141" i="10"/>
  <c r="AD143" i="10"/>
  <c r="AD145" i="10"/>
  <c r="AD147" i="10"/>
  <c r="AD149" i="10"/>
  <c r="AD150" i="10"/>
  <c r="AD152" i="10"/>
  <c r="AD160" i="10"/>
  <c r="AD162" i="10"/>
  <c r="AD164" i="10"/>
  <c r="AD166" i="10"/>
  <c r="AD168" i="10"/>
  <c r="AD170" i="10"/>
  <c r="AD172" i="10"/>
  <c r="AD175" i="10"/>
  <c r="AD180" i="10"/>
  <c r="AD183" i="10"/>
  <c r="AD188" i="10"/>
  <c r="AD191" i="10"/>
  <c r="AD196" i="10"/>
  <c r="AD199" i="10"/>
  <c r="AD204" i="10"/>
  <c r="AD207" i="10"/>
  <c r="AD216" i="10"/>
  <c r="AD151" i="10"/>
  <c r="AD153" i="10"/>
  <c r="AD154" i="10"/>
  <c r="AD156" i="10"/>
  <c r="AD159" i="10"/>
  <c r="AD161" i="10"/>
  <c r="AD163" i="10"/>
  <c r="AD165" i="10"/>
  <c r="AD167" i="10"/>
  <c r="AD169" i="10"/>
  <c r="AD171" i="10"/>
  <c r="AD173" i="10"/>
  <c r="AD178" i="10"/>
  <c r="AD181" i="10"/>
  <c r="AD186" i="10"/>
  <c r="AD189" i="10"/>
  <c r="AD194" i="10"/>
  <c r="AD197" i="10"/>
  <c r="AD202" i="10"/>
  <c r="AD205" i="10"/>
  <c r="AD210" i="10"/>
  <c r="AD212" i="10"/>
  <c r="AD155" i="10"/>
  <c r="AD176" i="10"/>
  <c r="AD179" i="10"/>
  <c r="AD184" i="10"/>
  <c r="AD187" i="10"/>
  <c r="AD192" i="10"/>
  <c r="AD195" i="10"/>
  <c r="AD200" i="10"/>
  <c r="AD203" i="10"/>
  <c r="AD208" i="10"/>
  <c r="AD213" i="10"/>
  <c r="AD214" i="10"/>
  <c r="AD130" i="10"/>
  <c r="AD132" i="10"/>
  <c r="AD134" i="10"/>
  <c r="AD136" i="10"/>
  <c r="AD138" i="10"/>
  <c r="AD140" i="10"/>
  <c r="AD142" i="10"/>
  <c r="AD144" i="10"/>
  <c r="AD146" i="10"/>
  <c r="AD148" i="10"/>
  <c r="AD157" i="10"/>
  <c r="AD158" i="10"/>
  <c r="AD174" i="10"/>
  <c r="AD177" i="10"/>
  <c r="AD182" i="10"/>
  <c r="AD185" i="10"/>
  <c r="AD190" i="10"/>
  <c r="AD193" i="10"/>
  <c r="AD198" i="10"/>
  <c r="AD201" i="10"/>
  <c r="AD206" i="10"/>
  <c r="AD209" i="10"/>
  <c r="AD211" i="10"/>
  <c r="AD215" i="10"/>
  <c r="AD219" i="10"/>
  <c r="AD224" i="10"/>
  <c r="AD228" i="10"/>
  <c r="AD232" i="10"/>
  <c r="AD236" i="10"/>
  <c r="AD240" i="10"/>
  <c r="AD244" i="10"/>
  <c r="AD248" i="10"/>
  <c r="AD252" i="10"/>
  <c r="AD256" i="10"/>
  <c r="AD260" i="10"/>
  <c r="AD263" i="10"/>
  <c r="AD266" i="10"/>
  <c r="AD271" i="10"/>
  <c r="AD274" i="10"/>
  <c r="AD277" i="10"/>
  <c r="AD281" i="10"/>
  <c r="AD285" i="10"/>
  <c r="AD289" i="10"/>
  <c r="AD293" i="10"/>
  <c r="AD300" i="10"/>
  <c r="AD301" i="10"/>
  <c r="AD306" i="10"/>
  <c r="AD310" i="10"/>
  <c r="AD314" i="10"/>
  <c r="AD221" i="10"/>
  <c r="AD225" i="10"/>
  <c r="AD229" i="10"/>
  <c r="AD233" i="10"/>
  <c r="AD237" i="10"/>
  <c r="AD241" i="10"/>
  <c r="AD245" i="10"/>
  <c r="AD249" i="10"/>
  <c r="AD253" i="10"/>
  <c r="AD257" i="10"/>
  <c r="AD261" i="10"/>
  <c r="AD264" i="10"/>
  <c r="AD269" i="10"/>
  <c r="AD272" i="10"/>
  <c r="AD278" i="10"/>
  <c r="AD282" i="10"/>
  <c r="AD286" i="10"/>
  <c r="AD290" i="10"/>
  <c r="AD294" i="10"/>
  <c r="AD295" i="10"/>
  <c r="AD302" i="10"/>
  <c r="AD303" i="10"/>
  <c r="AD307" i="10"/>
  <c r="AD311" i="10"/>
  <c r="AD315" i="10"/>
  <c r="AD222" i="10"/>
  <c r="AD226" i="10"/>
  <c r="AD230" i="10"/>
  <c r="AD234" i="10"/>
  <c r="AD238" i="10"/>
  <c r="AD242" i="10"/>
  <c r="AD246" i="10"/>
  <c r="AD250" i="10"/>
  <c r="AD254" i="10"/>
  <c r="AD258" i="10"/>
  <c r="AD262" i="10"/>
  <c r="AD267" i="10"/>
  <c r="AD270" i="10"/>
  <c r="AD275" i="10"/>
  <c r="AD279" i="10"/>
  <c r="AD283" i="10"/>
  <c r="AD287" i="10"/>
  <c r="AD291" i="10"/>
  <c r="AD296" i="10"/>
  <c r="AD297" i="10"/>
  <c r="AD304" i="10"/>
  <c r="AD308" i="10"/>
  <c r="AD312" i="10"/>
  <c r="AD217" i="10"/>
  <c r="AD218" i="10"/>
  <c r="AD220" i="10"/>
  <c r="AD223" i="10"/>
  <c r="AD227" i="10"/>
  <c r="AD231" i="10"/>
  <c r="AD235" i="10"/>
  <c r="AD239" i="10"/>
  <c r="AD243" i="10"/>
  <c r="AD247" i="10"/>
  <c r="AD251" i="10"/>
  <c r="AD255" i="10"/>
  <c r="AD259" i="10"/>
  <c r="AD265" i="10"/>
  <c r="AD268" i="10"/>
  <c r="AD273" i="10"/>
  <c r="AD276" i="10"/>
  <c r="AD280" i="10"/>
  <c r="AD284" i="10"/>
  <c r="AD288" i="10"/>
  <c r="AD292" i="10"/>
  <c r="AD298" i="10"/>
  <c r="AD299" i="10"/>
  <c r="AD305" i="10"/>
  <c r="AD309" i="10"/>
  <c r="AD313" i="10"/>
  <c r="AD316" i="10"/>
  <c r="AD321" i="10"/>
  <c r="AD326" i="10"/>
  <c r="AD337" i="10"/>
  <c r="AD339" i="10"/>
  <c r="AD341" i="10"/>
  <c r="AD343" i="10"/>
  <c r="AD345" i="10"/>
  <c r="AD347" i="10"/>
  <c r="AD349" i="10"/>
  <c r="AD351" i="10"/>
  <c r="AD353" i="10"/>
  <c r="AD355" i="10"/>
  <c r="AD357" i="10"/>
  <c r="AD359" i="10"/>
  <c r="AD361" i="10"/>
  <c r="AD363" i="10"/>
  <c r="AD367" i="10"/>
  <c r="AD371" i="10"/>
  <c r="AD375" i="10"/>
  <c r="AD379" i="10"/>
  <c r="AD317" i="10"/>
  <c r="AD322" i="10"/>
  <c r="AD327" i="10"/>
  <c r="AD328" i="10"/>
  <c r="AD330" i="10"/>
  <c r="AD364" i="10"/>
  <c r="AD368" i="10"/>
  <c r="AD372" i="10"/>
  <c r="AD376" i="10"/>
  <c r="AD380" i="10"/>
  <c r="AD318" i="10"/>
  <c r="AD323" i="10"/>
  <c r="AD329" i="10"/>
  <c r="AD331" i="10"/>
  <c r="AD332" i="10"/>
  <c r="AD334" i="10"/>
  <c r="AD365" i="10"/>
  <c r="AD369" i="10"/>
  <c r="AD373" i="10"/>
  <c r="AD377" i="10"/>
  <c r="AD381" i="10"/>
  <c r="AD319" i="10"/>
  <c r="AD320" i="10"/>
  <c r="AD324" i="10"/>
  <c r="AD333" i="10"/>
  <c r="AD335" i="10"/>
  <c r="AD336" i="10"/>
  <c r="AD338" i="10"/>
  <c r="AD340" i="10"/>
  <c r="AD342" i="10"/>
  <c r="AD344" i="10"/>
  <c r="AD346" i="10"/>
  <c r="AD348" i="10"/>
  <c r="AD350" i="10"/>
  <c r="AD352" i="10"/>
  <c r="AD354" i="10"/>
  <c r="AD356" i="10"/>
  <c r="AD358" i="10"/>
  <c r="AD360" i="10"/>
  <c r="AD362" i="10"/>
  <c r="AD366" i="10"/>
  <c r="AD370" i="10"/>
  <c r="AD374" i="10"/>
  <c r="AD378" i="10"/>
  <c r="AD382" i="10"/>
  <c r="AD128" i="10"/>
  <c r="AD129" i="10"/>
  <c r="U21" i="10" l="1"/>
  <c r="X126" i="10" l="1"/>
  <c r="S3" i="10" l="1"/>
  <c r="V4" i="10"/>
  <c r="V3" i="10"/>
  <c r="AW32" i="10" l="1"/>
  <c r="U4" i="10"/>
  <c r="U42" i="10"/>
  <c r="U41" i="10"/>
  <c r="G114" i="11"/>
  <c r="O3" i="16" l="1"/>
  <c r="AD41" i="10" l="1"/>
  <c r="U83" i="10" l="1"/>
  <c r="U82" i="10"/>
  <c r="U63" i="10"/>
  <c r="U62" i="10"/>
  <c r="U3" i="10"/>
  <c r="AV102" i="10"/>
  <c r="AQ102" i="10"/>
  <c r="U98" i="10"/>
  <c r="L32" i="10" a="1"/>
  <c r="L39" i="10" a="1"/>
  <c r="U18" i="10"/>
  <c r="U97" i="10"/>
  <c r="U19" i="10"/>
  <c r="U78" i="10"/>
  <c r="U77" i="10"/>
  <c r="L38" i="10" a="1"/>
  <c r="V18" i="10"/>
  <c r="O32" i="10" l="1"/>
  <c r="R32" i="10"/>
  <c r="M32" i="10"/>
  <c r="L32" i="10"/>
  <c r="Q32" i="10"/>
  <c r="P32" i="10"/>
  <c r="N32" i="10"/>
  <c r="U22" i="10"/>
  <c r="L39" i="10"/>
  <c r="M39" i="10"/>
  <c r="N39" i="10"/>
  <c r="O39" i="10"/>
  <c r="P39" i="10"/>
  <c r="Q39" i="10"/>
  <c r="R39" i="10"/>
  <c r="M38" i="10"/>
  <c r="O38" i="10"/>
  <c r="Q38" i="10"/>
  <c r="L38" i="10"/>
  <c r="N38" i="10"/>
  <c r="P38" i="10"/>
  <c r="R38" i="10"/>
  <c r="X157" i="10" l="1"/>
  <c r="Y157" i="10" s="1"/>
  <c r="AA157" i="10" s="1"/>
  <c r="X187" i="10"/>
  <c r="Y187" i="10" s="1"/>
  <c r="AA187" i="10" s="1"/>
  <c r="X203" i="10"/>
  <c r="Y203" i="10" s="1"/>
  <c r="AA203" i="10" s="1"/>
  <c r="X215" i="10"/>
  <c r="Y215" i="10" s="1"/>
  <c r="AA215" i="10" s="1"/>
  <c r="X177" i="10"/>
  <c r="Y177" i="10" s="1"/>
  <c r="AA177" i="10" s="1"/>
  <c r="X193" i="10"/>
  <c r="Y193" i="10" s="1"/>
  <c r="AA193" i="10" s="1"/>
  <c r="X209" i="10"/>
  <c r="Y209" i="10" s="1"/>
  <c r="AA209" i="10" s="1"/>
  <c r="X134" i="10"/>
  <c r="Y134" i="10" s="1"/>
  <c r="AA134" i="10" s="1"/>
  <c r="X138" i="10"/>
  <c r="Y138" i="10" s="1"/>
  <c r="AA138" i="10" s="1"/>
  <c r="X142" i="10"/>
  <c r="Y142" i="10" s="1"/>
  <c r="AA142" i="10" s="1"/>
  <c r="X146" i="10"/>
  <c r="Y146" i="10" s="1"/>
  <c r="AA146" i="10" s="1"/>
  <c r="X150" i="10"/>
  <c r="Y150" i="10" s="1"/>
  <c r="AA150" i="10" s="1"/>
  <c r="X183" i="10"/>
  <c r="Y183" i="10" s="1"/>
  <c r="AA183" i="10" s="1"/>
  <c r="X199" i="10"/>
  <c r="Y199" i="10" s="1"/>
  <c r="AA199" i="10" s="1"/>
  <c r="X151" i="10"/>
  <c r="Y151" i="10" s="1"/>
  <c r="AA151" i="10" s="1"/>
  <c r="X160" i="10"/>
  <c r="Y160" i="10" s="1"/>
  <c r="AA160" i="10" s="1"/>
  <c r="X179" i="10"/>
  <c r="Y179" i="10" s="1"/>
  <c r="AA179" i="10" s="1"/>
  <c r="X130" i="10"/>
  <c r="Y130" i="10" s="1"/>
  <c r="AA130" i="10" s="1"/>
  <c r="X185" i="10"/>
  <c r="Y185" i="10" s="1"/>
  <c r="AA185" i="10" s="1"/>
  <c r="X206" i="10"/>
  <c r="Y206" i="10" s="1"/>
  <c r="AA206" i="10" s="1"/>
  <c r="X135" i="10"/>
  <c r="Y135" i="10" s="1"/>
  <c r="AA135" i="10" s="1"/>
  <c r="AB135" i="10" s="1"/>
  <c r="X140" i="10"/>
  <c r="Y140" i="10" s="1"/>
  <c r="AA140" i="10" s="1"/>
  <c r="X159" i="10"/>
  <c r="Y159" i="10" s="1"/>
  <c r="AA159" i="10" s="1"/>
  <c r="X216" i="10"/>
  <c r="Y216" i="10" s="1"/>
  <c r="AA216" i="10" s="1"/>
  <c r="X169" i="10"/>
  <c r="Y169" i="10" s="1"/>
  <c r="AA169" i="10" s="1"/>
  <c r="X205" i="10"/>
  <c r="Y205" i="10" s="1"/>
  <c r="AA205" i="10" s="1"/>
  <c r="X246" i="10"/>
  <c r="Y246" i="10" s="1"/>
  <c r="AA246" i="10" s="1"/>
  <c r="X296" i="10"/>
  <c r="Y296" i="10" s="1"/>
  <c r="AA296" i="10" s="1"/>
  <c r="X247" i="10"/>
  <c r="Y247" i="10" s="1"/>
  <c r="AA247" i="10" s="1"/>
  <c r="X279" i="10"/>
  <c r="Y279" i="10" s="1"/>
  <c r="AA279" i="10" s="1"/>
  <c r="X298" i="10"/>
  <c r="Y298" i="10" s="1"/>
  <c r="AA298" i="10" s="1"/>
  <c r="X248" i="10"/>
  <c r="Y248" i="10" s="1"/>
  <c r="AA248" i="10" s="1"/>
  <c r="X310" i="10"/>
  <c r="Y310" i="10" s="1"/>
  <c r="AA310" i="10" s="1"/>
  <c r="X245" i="10"/>
  <c r="Y245" i="10" s="1"/>
  <c r="AA245" i="10" s="1"/>
  <c r="X278" i="10"/>
  <c r="Y278" i="10" s="1"/>
  <c r="AA278" i="10" s="1"/>
  <c r="X307" i="10"/>
  <c r="Y307" i="10" s="1"/>
  <c r="AA307" i="10" s="1"/>
  <c r="X332" i="10"/>
  <c r="Y332" i="10" s="1"/>
  <c r="AA332" i="10" s="1"/>
  <c r="X72" i="10"/>
  <c r="Y72" i="10" s="1"/>
  <c r="AA72" i="10" s="1"/>
  <c r="AB72" i="10" s="1"/>
  <c r="X373" i="10"/>
  <c r="Y373" i="10" s="1"/>
  <c r="AA373" i="10" s="1"/>
  <c r="X337" i="10"/>
  <c r="Y337" i="10" s="1"/>
  <c r="AA337" i="10" s="1"/>
  <c r="X349" i="10"/>
  <c r="Y349" i="10" s="1"/>
  <c r="AA349" i="10" s="1"/>
  <c r="X357" i="10"/>
  <c r="Y357" i="10" s="1"/>
  <c r="AA357" i="10" s="1"/>
  <c r="X65" i="10"/>
  <c r="Y65" i="10" s="1"/>
  <c r="AA65" i="10" s="1"/>
  <c r="AB65" i="10" s="1"/>
  <c r="X372" i="10"/>
  <c r="Y372" i="10" s="1"/>
  <c r="AA372" i="10" s="1"/>
  <c r="X92" i="10"/>
  <c r="Y92" i="10" s="1"/>
  <c r="AA92" i="10" s="1"/>
  <c r="AB92" i="10" s="1"/>
  <c r="X49" i="10"/>
  <c r="Y49" i="10" s="1"/>
  <c r="AA49" i="10" s="1"/>
  <c r="AB49" i="10" s="1"/>
  <c r="X220" i="10"/>
  <c r="Y220" i="10" s="1"/>
  <c r="AA220" i="10" s="1"/>
  <c r="X219" i="10"/>
  <c r="Y219" i="10" s="1"/>
  <c r="AA219" i="10" s="1"/>
  <c r="X300" i="10"/>
  <c r="Y300" i="10" s="1"/>
  <c r="AA300" i="10" s="1"/>
  <c r="X249" i="10"/>
  <c r="Y249" i="10" s="1"/>
  <c r="AA249" i="10" s="1"/>
  <c r="X289" i="10"/>
  <c r="Y289" i="10" s="1"/>
  <c r="AA289" i="10" s="1"/>
  <c r="X329" i="10"/>
  <c r="Y329" i="10" s="1"/>
  <c r="AA329" i="10" s="1"/>
  <c r="X95" i="10"/>
  <c r="Y95" i="10" s="1"/>
  <c r="AA95" i="10" s="1"/>
  <c r="AB95" i="10" s="1"/>
  <c r="X374" i="10"/>
  <c r="Y374" i="10" s="1"/>
  <c r="AA374" i="10" s="1"/>
  <c r="X338" i="10"/>
  <c r="Y338" i="10" s="1"/>
  <c r="AA338" i="10" s="1"/>
  <c r="X346" i="10"/>
  <c r="Y346" i="10" s="1"/>
  <c r="AA346" i="10" s="1"/>
  <c r="X358" i="10"/>
  <c r="Y358" i="10" s="1"/>
  <c r="AA358" i="10" s="1"/>
  <c r="X68" i="10"/>
  <c r="Y68" i="10" s="1"/>
  <c r="AA68" i="10" s="1"/>
  <c r="AB68" i="10" s="1"/>
  <c r="X375" i="10"/>
  <c r="Y375" i="10" s="1"/>
  <c r="AA375" i="10" s="1"/>
  <c r="X93" i="10"/>
  <c r="Y93" i="10" s="1"/>
  <c r="AA93" i="10" s="1"/>
  <c r="AB93" i="10" s="1"/>
  <c r="X155" i="10"/>
  <c r="Y155" i="10" s="1"/>
  <c r="AA155" i="10" s="1"/>
  <c r="X184" i="10"/>
  <c r="Y184" i="10" s="1"/>
  <c r="AA184" i="10" s="1"/>
  <c r="X208" i="10"/>
  <c r="Y208" i="10" s="1"/>
  <c r="AA208" i="10" s="1"/>
  <c r="X158" i="10"/>
  <c r="Y158" i="10" s="1"/>
  <c r="AA158" i="10" s="1"/>
  <c r="X190" i="10"/>
  <c r="Y190" i="10" s="1"/>
  <c r="AA190" i="10" s="1"/>
  <c r="X131" i="10"/>
  <c r="Y131" i="10" s="1"/>
  <c r="AA131" i="10" s="1"/>
  <c r="AB131" i="10" s="1"/>
  <c r="X136" i="10"/>
  <c r="Y136" i="10" s="1"/>
  <c r="AA136" i="10" s="1"/>
  <c r="X141" i="10"/>
  <c r="Y141" i="10" s="1"/>
  <c r="AA141" i="10" s="1"/>
  <c r="X147" i="10"/>
  <c r="Y147" i="10" s="1"/>
  <c r="AA147" i="10" s="1"/>
  <c r="X175" i="10"/>
  <c r="Y175" i="10" s="1"/>
  <c r="AA175" i="10" s="1"/>
  <c r="X196" i="10"/>
  <c r="Y196" i="10" s="1"/>
  <c r="AA196" i="10" s="1"/>
  <c r="X152" i="10"/>
  <c r="Y152" i="10" s="1"/>
  <c r="AA152" i="10" s="1"/>
  <c r="X162" i="10"/>
  <c r="Y162" i="10" s="1"/>
  <c r="AA162" i="10" s="1"/>
  <c r="X166" i="10"/>
  <c r="Y166" i="10" s="1"/>
  <c r="AA166" i="10" s="1"/>
  <c r="X178" i="10"/>
  <c r="Y178" i="10" s="1"/>
  <c r="AA178" i="10" s="1"/>
  <c r="X194" i="10"/>
  <c r="Y194" i="10" s="1"/>
  <c r="AA194" i="10" s="1"/>
  <c r="X210" i="10"/>
  <c r="Y210" i="10" s="1"/>
  <c r="AA210" i="10" s="1"/>
  <c r="X234" i="10"/>
  <c r="Y234" i="10" s="1"/>
  <c r="AA234" i="10" s="1"/>
  <c r="X267" i="10"/>
  <c r="Y267" i="10" s="1"/>
  <c r="AA267" i="10" s="1"/>
  <c r="X218" i="10"/>
  <c r="Y218" i="10" s="1"/>
  <c r="AA218" i="10" s="1"/>
  <c r="X251" i="10"/>
  <c r="Y251" i="10" s="1"/>
  <c r="AA251" i="10" s="1"/>
  <c r="X288" i="10"/>
  <c r="Y288" i="10" s="1"/>
  <c r="AA288" i="10" s="1"/>
  <c r="X252" i="10"/>
  <c r="Y252" i="10" s="1"/>
  <c r="AA252" i="10" s="1"/>
  <c r="X314" i="10"/>
  <c r="Y314" i="10" s="1"/>
  <c r="AA314" i="10" s="1"/>
  <c r="X281" i="10"/>
  <c r="Y281" i="10" s="1"/>
  <c r="AA281" i="10" s="1"/>
  <c r="X311" i="10"/>
  <c r="Y311" i="10" s="1"/>
  <c r="AA311" i="10" s="1"/>
  <c r="X334" i="10"/>
  <c r="Y334" i="10" s="1"/>
  <c r="AA334" i="10" s="1"/>
  <c r="X382" i="10"/>
  <c r="Y382" i="10" s="1"/>
  <c r="AA382" i="10" s="1"/>
  <c r="X350" i="10"/>
  <c r="Y350" i="10" s="1"/>
  <c r="AA350" i="10" s="1"/>
  <c r="X326" i="10"/>
  <c r="Y326" i="10" s="1"/>
  <c r="AA326" i="10" s="1"/>
  <c r="X75" i="10"/>
  <c r="Y75" i="10" s="1"/>
  <c r="AA75" i="10" s="1"/>
  <c r="AB75" i="10" s="1"/>
  <c r="X156" i="10"/>
  <c r="Y156" i="10" s="1"/>
  <c r="AA156" i="10" s="1"/>
  <c r="X192" i="10"/>
  <c r="Y192" i="10" s="1"/>
  <c r="AA192" i="10" s="1"/>
  <c r="X211" i="10"/>
  <c r="Y211" i="10" s="1"/>
  <c r="AA211" i="10" s="1"/>
  <c r="X174" i="10"/>
  <c r="Y174" i="10" s="1"/>
  <c r="AA174" i="10" s="1"/>
  <c r="X198" i="10"/>
  <c r="Y198" i="10" s="1"/>
  <c r="AA198" i="10" s="1"/>
  <c r="X132" i="10"/>
  <c r="Y132" i="10" s="1"/>
  <c r="AA132" i="10" s="1"/>
  <c r="X137" i="10"/>
  <c r="Y137" i="10" s="1"/>
  <c r="AA137" i="10" s="1"/>
  <c r="AB137" i="10" s="1"/>
  <c r="X143" i="10"/>
  <c r="Y143" i="10" s="1"/>
  <c r="AA143" i="10" s="1"/>
  <c r="X148" i="10"/>
  <c r="Y148" i="10" s="1"/>
  <c r="AA148" i="10" s="1"/>
  <c r="X180" i="10"/>
  <c r="Y180" i="10" s="1"/>
  <c r="AA180" i="10" s="1"/>
  <c r="X204" i="10"/>
  <c r="Y204" i="10" s="1"/>
  <c r="AA204" i="10" s="1"/>
  <c r="X153" i="10"/>
  <c r="Y153" i="10" s="1"/>
  <c r="AA153" i="10" s="1"/>
  <c r="X163" i="10"/>
  <c r="Y163" i="10" s="1"/>
  <c r="AA163" i="10" s="1"/>
  <c r="X167" i="10"/>
  <c r="Y167" i="10" s="1"/>
  <c r="AA167" i="10" s="1"/>
  <c r="X171" i="10"/>
  <c r="Y171" i="10" s="1"/>
  <c r="AA171" i="10" s="1"/>
  <c r="X181" i="10"/>
  <c r="Y181" i="10" s="1"/>
  <c r="AA181" i="10" s="1"/>
  <c r="X197" i="10"/>
  <c r="Y197" i="10" s="1"/>
  <c r="AA197" i="10" s="1"/>
  <c r="X212" i="10"/>
  <c r="Y212" i="10" s="1"/>
  <c r="AA212" i="10" s="1"/>
  <c r="X222" i="10"/>
  <c r="Y222" i="10" s="1"/>
  <c r="AA222" i="10" s="1"/>
  <c r="X238" i="10"/>
  <c r="Y238" i="10" s="1"/>
  <c r="AA238" i="10" s="1"/>
  <c r="X254" i="10"/>
  <c r="Y254" i="10" s="1"/>
  <c r="AA254" i="10" s="1"/>
  <c r="X270" i="10"/>
  <c r="Y270" i="10" s="1"/>
  <c r="AA270" i="10" s="1"/>
  <c r="X304" i="10"/>
  <c r="Y304" i="10" s="1"/>
  <c r="AA304" i="10" s="1"/>
  <c r="X223" i="10"/>
  <c r="Y223" i="10" s="1"/>
  <c r="AA223" i="10" s="1"/>
  <c r="X239" i="10"/>
  <c r="Y239" i="10" s="1"/>
  <c r="AA239" i="10" s="1"/>
  <c r="X255" i="10"/>
  <c r="Y255" i="10" s="1"/>
  <c r="AA255" i="10" s="1"/>
  <c r="X273" i="10"/>
  <c r="Y273" i="10" s="1"/>
  <c r="AA273" i="10" s="1"/>
  <c r="X283" i="10"/>
  <c r="Y283" i="10" s="1"/>
  <c r="AA283" i="10" s="1"/>
  <c r="X291" i="10"/>
  <c r="Y291" i="10" s="1"/>
  <c r="AA291" i="10" s="1"/>
  <c r="X305" i="10"/>
  <c r="Y305" i="10" s="1"/>
  <c r="AA305" i="10" s="1"/>
  <c r="X224" i="10"/>
  <c r="Y224" i="10" s="1"/>
  <c r="AA224" i="10" s="1"/>
  <c r="X240" i="10"/>
  <c r="Y240" i="10" s="1"/>
  <c r="AA240" i="10" s="1"/>
  <c r="X256" i="10"/>
  <c r="Y256" i="10" s="1"/>
  <c r="AA256" i="10" s="1"/>
  <c r="X271" i="10"/>
  <c r="Y271" i="10" s="1"/>
  <c r="AA271" i="10" s="1"/>
  <c r="X301" i="10"/>
  <c r="Y301" i="10" s="1"/>
  <c r="AA301" i="10" s="1"/>
  <c r="X221" i="10"/>
  <c r="Y221" i="10" s="1"/>
  <c r="AA221" i="10" s="1"/>
  <c r="X237" i="10"/>
  <c r="Y237" i="10" s="1"/>
  <c r="AA237" i="10" s="1"/>
  <c r="X253" i="10"/>
  <c r="Y253" i="10" s="1"/>
  <c r="AA253" i="10" s="1"/>
  <c r="X269" i="10"/>
  <c r="Y269" i="10" s="1"/>
  <c r="AA269" i="10" s="1"/>
  <c r="X282" i="10"/>
  <c r="Y282" i="10" s="1"/>
  <c r="AA282" i="10" s="1"/>
  <c r="X290" i="10"/>
  <c r="Y290" i="10" s="1"/>
  <c r="AA290" i="10" s="1"/>
  <c r="X302" i="10"/>
  <c r="Y302" i="10" s="1"/>
  <c r="AA302" i="10" s="1"/>
  <c r="X176" i="10"/>
  <c r="Y176" i="10" s="1"/>
  <c r="AA176" i="10" s="1"/>
  <c r="X195" i="10"/>
  <c r="Y195" i="10" s="1"/>
  <c r="AA195" i="10" s="1"/>
  <c r="X214" i="10"/>
  <c r="Y214" i="10" s="1"/>
  <c r="AA214" i="10" s="1"/>
  <c r="X182" i="10"/>
  <c r="Y182" i="10" s="1"/>
  <c r="AA182" i="10" s="1"/>
  <c r="X201" i="10"/>
  <c r="Y201" i="10" s="1"/>
  <c r="AA201" i="10" s="1"/>
  <c r="X133" i="10"/>
  <c r="Y133" i="10" s="1"/>
  <c r="AA133" i="10" s="1"/>
  <c r="AB133" i="10" s="1"/>
  <c r="X139" i="10"/>
  <c r="Y139" i="10" s="1"/>
  <c r="AA139" i="10" s="1"/>
  <c r="AB139" i="10" s="1"/>
  <c r="X144" i="10"/>
  <c r="Y144" i="10" s="1"/>
  <c r="AA144" i="10" s="1"/>
  <c r="X149" i="10"/>
  <c r="Y149" i="10" s="1"/>
  <c r="AA149" i="10" s="1"/>
  <c r="X188" i="10"/>
  <c r="Y188" i="10" s="1"/>
  <c r="AA188" i="10" s="1"/>
  <c r="X207" i="10"/>
  <c r="Y207" i="10" s="1"/>
  <c r="AA207" i="10" s="1"/>
  <c r="X154" i="10"/>
  <c r="Y154" i="10" s="1"/>
  <c r="AA154" i="10" s="1"/>
  <c r="X164" i="10"/>
  <c r="Y164" i="10" s="1"/>
  <c r="AA164" i="10" s="1"/>
  <c r="X168" i="10"/>
  <c r="Y168" i="10" s="1"/>
  <c r="AA168" i="10" s="1"/>
  <c r="X172" i="10"/>
  <c r="Y172" i="10" s="1"/>
  <c r="AA172" i="10" s="1"/>
  <c r="X186" i="10"/>
  <c r="Y186" i="10" s="1"/>
  <c r="AA186" i="10" s="1"/>
  <c r="X202" i="10"/>
  <c r="Y202" i="10" s="1"/>
  <c r="AA202" i="10" s="1"/>
  <c r="X213" i="10"/>
  <c r="Y213" i="10" s="1"/>
  <c r="AA213" i="10" s="1"/>
  <c r="X226" i="10"/>
  <c r="Y226" i="10" s="1"/>
  <c r="AA226" i="10" s="1"/>
  <c r="X242" i="10"/>
  <c r="Y242" i="10" s="1"/>
  <c r="AA242" i="10" s="1"/>
  <c r="X258" i="10"/>
  <c r="Y258" i="10" s="1"/>
  <c r="AA258" i="10" s="1"/>
  <c r="X275" i="10"/>
  <c r="Y275" i="10" s="1"/>
  <c r="AA275" i="10" s="1"/>
  <c r="X308" i="10"/>
  <c r="Y308" i="10" s="1"/>
  <c r="AA308" i="10" s="1"/>
  <c r="X227" i="10"/>
  <c r="Y227" i="10" s="1"/>
  <c r="AA227" i="10" s="1"/>
  <c r="X243" i="10"/>
  <c r="Y243" i="10" s="1"/>
  <c r="AA243" i="10" s="1"/>
  <c r="X259" i="10"/>
  <c r="Y259" i="10" s="1"/>
  <c r="AA259" i="10" s="1"/>
  <c r="X276" i="10"/>
  <c r="Y276" i="10" s="1"/>
  <c r="AA276" i="10" s="1"/>
  <c r="X284" i="10"/>
  <c r="Y284" i="10" s="1"/>
  <c r="AA284" i="10" s="1"/>
  <c r="X292" i="10"/>
  <c r="Y292" i="10" s="1"/>
  <c r="AA292" i="10" s="1"/>
  <c r="X309" i="10"/>
  <c r="Y309" i="10" s="1"/>
  <c r="AA309" i="10" s="1"/>
  <c r="X228" i="10"/>
  <c r="Y228" i="10" s="1"/>
  <c r="AA228" i="10" s="1"/>
  <c r="X244" i="10"/>
  <c r="Y244" i="10" s="1"/>
  <c r="AA244" i="10" s="1"/>
  <c r="X260" i="10"/>
  <c r="Y260" i="10" s="1"/>
  <c r="AA260" i="10" s="1"/>
  <c r="X274" i="10"/>
  <c r="Y274" i="10" s="1"/>
  <c r="AA274" i="10" s="1"/>
  <c r="X306" i="10"/>
  <c r="Y306" i="10" s="1"/>
  <c r="AA306" i="10" s="1"/>
  <c r="X225" i="10"/>
  <c r="Y225" i="10" s="1"/>
  <c r="AA225" i="10" s="1"/>
  <c r="X241" i="10"/>
  <c r="Y241" i="10" s="1"/>
  <c r="AA241" i="10" s="1"/>
  <c r="X257" i="10"/>
  <c r="Y257" i="10" s="1"/>
  <c r="AA257" i="10" s="1"/>
  <c r="X272" i="10"/>
  <c r="Y272" i="10" s="1"/>
  <c r="AA272" i="10" s="1"/>
  <c r="X285" i="10"/>
  <c r="Y285" i="10" s="1"/>
  <c r="AA285" i="10" s="1"/>
  <c r="X293" i="10"/>
  <c r="Y293" i="10" s="1"/>
  <c r="AA293" i="10" s="1"/>
  <c r="X303" i="10"/>
  <c r="Y303" i="10" s="1"/>
  <c r="AA303" i="10" s="1"/>
  <c r="X318" i="10"/>
  <c r="Y318" i="10" s="1"/>
  <c r="AA318" i="10" s="1"/>
  <c r="X331" i="10"/>
  <c r="Y331" i="10" s="1"/>
  <c r="AA331" i="10" s="1"/>
  <c r="X89" i="10"/>
  <c r="Y89" i="10" s="1"/>
  <c r="AA89" i="10" s="1"/>
  <c r="AB89" i="10" s="1"/>
  <c r="X69" i="10"/>
  <c r="Y69" i="10" s="1"/>
  <c r="AA69" i="10" s="1"/>
  <c r="AB69" i="10" s="1"/>
  <c r="X324" i="10"/>
  <c r="Y324" i="10" s="1"/>
  <c r="AA324" i="10" s="1"/>
  <c r="X336" i="10"/>
  <c r="Y336" i="10" s="1"/>
  <c r="AA336" i="10" s="1"/>
  <c r="X370" i="10"/>
  <c r="Y370" i="10" s="1"/>
  <c r="AA370" i="10" s="1"/>
  <c r="X378" i="10"/>
  <c r="Y378" i="10" s="1"/>
  <c r="AA378" i="10" s="1"/>
  <c r="X71" i="10"/>
  <c r="Y71" i="10" s="1"/>
  <c r="AA71" i="10" s="1"/>
  <c r="AB71" i="10" s="1"/>
  <c r="X340" i="10"/>
  <c r="Y340" i="10" s="1"/>
  <c r="AA340" i="10" s="1"/>
  <c r="X344" i="10"/>
  <c r="Y344" i="10" s="1"/>
  <c r="AA344" i="10" s="1"/>
  <c r="X348" i="10"/>
  <c r="Y348" i="10" s="1"/>
  <c r="AA348" i="10" s="1"/>
  <c r="X352" i="10"/>
  <c r="Y352" i="10" s="1"/>
  <c r="AA352" i="10" s="1"/>
  <c r="X356" i="10"/>
  <c r="Y356" i="10" s="1"/>
  <c r="AA356" i="10" s="1"/>
  <c r="X360" i="10"/>
  <c r="Y360" i="10" s="1"/>
  <c r="AA360" i="10" s="1"/>
  <c r="X91" i="10"/>
  <c r="Y91" i="10" s="1"/>
  <c r="AA91" i="10" s="1"/>
  <c r="AB91" i="10" s="1"/>
  <c r="X317" i="10"/>
  <c r="Y317" i="10" s="1"/>
  <c r="AA317" i="10" s="1"/>
  <c r="X328" i="10"/>
  <c r="Y328" i="10" s="1"/>
  <c r="AA328" i="10" s="1"/>
  <c r="X371" i="10"/>
  <c r="Y371" i="10" s="1"/>
  <c r="AA371" i="10" s="1"/>
  <c r="X379" i="10"/>
  <c r="Y379" i="10" s="1"/>
  <c r="AA379" i="10" s="1"/>
  <c r="X86" i="10"/>
  <c r="Y86" i="10" s="1"/>
  <c r="AA86" i="10" s="1"/>
  <c r="AB86" i="10" s="1"/>
  <c r="X67" i="10"/>
  <c r="Y67" i="10" s="1"/>
  <c r="AA67" i="10" s="1"/>
  <c r="AB67" i="10" s="1"/>
  <c r="X50" i="10"/>
  <c r="Y50" i="10" s="1"/>
  <c r="AA50" i="10" s="1"/>
  <c r="AB50" i="10" s="1"/>
  <c r="X51" i="10"/>
  <c r="Y51" i="10" s="1"/>
  <c r="AA51" i="10" s="1"/>
  <c r="AB51" i="10" s="1"/>
  <c r="X45" i="10"/>
  <c r="Y45" i="10" s="1"/>
  <c r="AA45" i="10" s="1"/>
  <c r="AB45" i="10" s="1"/>
  <c r="X200" i="10"/>
  <c r="Y200" i="10" s="1"/>
  <c r="AA200" i="10" s="1"/>
  <c r="X145" i="10"/>
  <c r="Y145" i="10" s="1"/>
  <c r="AA145" i="10" s="1"/>
  <c r="X191" i="10"/>
  <c r="Y191" i="10" s="1"/>
  <c r="AA191" i="10" s="1"/>
  <c r="X161" i="10"/>
  <c r="Y161" i="10" s="1"/>
  <c r="AA161" i="10" s="1"/>
  <c r="X165" i="10"/>
  <c r="Y165" i="10" s="1"/>
  <c r="AA165" i="10" s="1"/>
  <c r="X173" i="10"/>
  <c r="Y173" i="10" s="1"/>
  <c r="AA173" i="10" s="1"/>
  <c r="X189" i="10"/>
  <c r="Y189" i="10" s="1"/>
  <c r="AA189" i="10" s="1"/>
  <c r="X217" i="10"/>
  <c r="Y217" i="10" s="1"/>
  <c r="AA217" i="10" s="1"/>
  <c r="X230" i="10"/>
  <c r="Y230" i="10" s="1"/>
  <c r="AA230" i="10" s="1"/>
  <c r="X262" i="10"/>
  <c r="Y262" i="10" s="1"/>
  <c r="AA262" i="10" s="1"/>
  <c r="X312" i="10"/>
  <c r="Y312" i="10" s="1"/>
  <c r="AA312" i="10" s="1"/>
  <c r="X231" i="10"/>
  <c r="Y231" i="10" s="1"/>
  <c r="AA231" i="10" s="1"/>
  <c r="X265" i="10"/>
  <c r="Y265" i="10" s="1"/>
  <c r="AA265" i="10" s="1"/>
  <c r="X287" i="10"/>
  <c r="Y287" i="10" s="1"/>
  <c r="AA287" i="10" s="1"/>
  <c r="X313" i="10"/>
  <c r="Y313" i="10" s="1"/>
  <c r="AA313" i="10" s="1"/>
  <c r="X232" i="10"/>
  <c r="Y232" i="10" s="1"/>
  <c r="AA232" i="10" s="1"/>
  <c r="X263" i="10"/>
  <c r="Y263" i="10" s="1"/>
  <c r="AA263" i="10" s="1"/>
  <c r="X277" i="10"/>
  <c r="Y277" i="10" s="1"/>
  <c r="AA277" i="10" s="1"/>
  <c r="X229" i="10"/>
  <c r="Y229" i="10" s="1"/>
  <c r="AA229" i="10" s="1"/>
  <c r="X261" i="10"/>
  <c r="Y261" i="10" s="1"/>
  <c r="AA261" i="10" s="1"/>
  <c r="X286" i="10"/>
  <c r="Y286" i="10" s="1"/>
  <c r="AA286" i="10" s="1"/>
  <c r="X294" i="10"/>
  <c r="Y294" i="10" s="1"/>
  <c r="AA294" i="10" s="1"/>
  <c r="X323" i="10"/>
  <c r="Y323" i="10" s="1"/>
  <c r="AA323" i="10" s="1"/>
  <c r="X90" i="10"/>
  <c r="Y90" i="10" s="1"/>
  <c r="AA90" i="10" s="1"/>
  <c r="AB90" i="10" s="1"/>
  <c r="X333" i="10"/>
  <c r="Y333" i="10" s="1"/>
  <c r="AA333" i="10" s="1"/>
  <c r="X365" i="10"/>
  <c r="Y365" i="10" s="1"/>
  <c r="AA365" i="10" s="1"/>
  <c r="X381" i="10"/>
  <c r="Y381" i="10" s="1"/>
  <c r="AA381" i="10" s="1"/>
  <c r="X74" i="10"/>
  <c r="Y74" i="10" s="1"/>
  <c r="AA74" i="10" s="1"/>
  <c r="AB74" i="10" s="1"/>
  <c r="X341" i="10"/>
  <c r="Y341" i="10" s="1"/>
  <c r="AA341" i="10" s="1"/>
  <c r="X345" i="10"/>
  <c r="Y345" i="10" s="1"/>
  <c r="AA345" i="10" s="1"/>
  <c r="X353" i="10"/>
  <c r="Y353" i="10" s="1"/>
  <c r="AA353" i="10" s="1"/>
  <c r="X361" i="10"/>
  <c r="Y361" i="10" s="1"/>
  <c r="AA361" i="10" s="1"/>
  <c r="X322" i="10"/>
  <c r="Y322" i="10" s="1"/>
  <c r="AA322" i="10" s="1"/>
  <c r="X364" i="10"/>
  <c r="Y364" i="10" s="1"/>
  <c r="AA364" i="10" s="1"/>
  <c r="X380" i="10"/>
  <c r="Y380" i="10" s="1"/>
  <c r="AA380" i="10" s="1"/>
  <c r="X70" i="10"/>
  <c r="Y70" i="10" s="1"/>
  <c r="AA70" i="10" s="1"/>
  <c r="AB70" i="10" s="1"/>
  <c r="X54" i="10"/>
  <c r="Y54" i="10" s="1"/>
  <c r="AA54" i="10" s="1"/>
  <c r="AB54" i="10" s="1"/>
  <c r="X44" i="10"/>
  <c r="Y44" i="10" s="1"/>
  <c r="AA44" i="10" s="1"/>
  <c r="AB44" i="10" s="1"/>
  <c r="X170" i="10"/>
  <c r="Y170" i="10" s="1"/>
  <c r="AA170" i="10" s="1"/>
  <c r="X250" i="10"/>
  <c r="Y250" i="10" s="1"/>
  <c r="AA250" i="10" s="1"/>
  <c r="X297" i="10"/>
  <c r="Y297" i="10" s="1"/>
  <c r="AA297" i="10" s="1"/>
  <c r="X235" i="10"/>
  <c r="Y235" i="10" s="1"/>
  <c r="AA235" i="10" s="1"/>
  <c r="X268" i="10"/>
  <c r="Y268" i="10" s="1"/>
  <c r="AA268" i="10" s="1"/>
  <c r="X280" i="10"/>
  <c r="Y280" i="10" s="1"/>
  <c r="AA280" i="10" s="1"/>
  <c r="X299" i="10"/>
  <c r="Y299" i="10" s="1"/>
  <c r="AA299" i="10" s="1"/>
  <c r="X236" i="10"/>
  <c r="Y236" i="10" s="1"/>
  <c r="AA236" i="10" s="1"/>
  <c r="X266" i="10"/>
  <c r="Y266" i="10" s="1"/>
  <c r="AA266" i="10" s="1"/>
  <c r="X233" i="10"/>
  <c r="Y233" i="10" s="1"/>
  <c r="AA233" i="10" s="1"/>
  <c r="X264" i="10"/>
  <c r="Y264" i="10" s="1"/>
  <c r="AA264" i="10" s="1"/>
  <c r="X295" i="10"/>
  <c r="Y295" i="10" s="1"/>
  <c r="AA295" i="10" s="1"/>
  <c r="X87" i="10"/>
  <c r="Y87" i="10" s="1"/>
  <c r="AA87" i="10" s="1"/>
  <c r="AB87" i="10" s="1"/>
  <c r="X319" i="10"/>
  <c r="Y319" i="10" s="1"/>
  <c r="AA319" i="10" s="1"/>
  <c r="X366" i="10"/>
  <c r="Y366" i="10" s="1"/>
  <c r="AA366" i="10" s="1"/>
  <c r="X316" i="10"/>
  <c r="Y316" i="10" s="1"/>
  <c r="AA316" i="10" s="1"/>
  <c r="X342" i="10"/>
  <c r="Y342" i="10" s="1"/>
  <c r="AA342" i="10" s="1"/>
  <c r="X354" i="10"/>
  <c r="Y354" i="10" s="1"/>
  <c r="AA354" i="10" s="1"/>
  <c r="X362" i="10"/>
  <c r="Y362" i="10" s="1"/>
  <c r="AA362" i="10" s="1"/>
  <c r="X367" i="10"/>
  <c r="Y367" i="10" s="1"/>
  <c r="AA367" i="10" s="1"/>
  <c r="X84" i="10"/>
  <c r="Y84" i="10" s="1"/>
  <c r="AA84" i="10" s="1"/>
  <c r="AB84" i="10" s="1"/>
  <c r="X88" i="10"/>
  <c r="Y88" i="10" s="1"/>
  <c r="AA88" i="10" s="1"/>
  <c r="AB88" i="10" s="1"/>
  <c r="X369" i="10"/>
  <c r="Y369" i="10" s="1"/>
  <c r="AA369" i="10" s="1"/>
  <c r="X339" i="10"/>
  <c r="Y339" i="10" s="1"/>
  <c r="AA339" i="10" s="1"/>
  <c r="X355" i="10"/>
  <c r="Y355" i="10" s="1"/>
  <c r="AA355" i="10" s="1"/>
  <c r="X327" i="10"/>
  <c r="Y327" i="10" s="1"/>
  <c r="AA327" i="10" s="1"/>
  <c r="X94" i="10"/>
  <c r="Y94" i="10" s="1"/>
  <c r="AA94" i="10" s="1"/>
  <c r="AB94" i="10" s="1"/>
  <c r="X46" i="10"/>
  <c r="Y46" i="10" s="1"/>
  <c r="AA46" i="10" s="1"/>
  <c r="AB46" i="10" s="1"/>
  <c r="X52" i="10"/>
  <c r="Y52" i="10" s="1"/>
  <c r="AA52" i="10" s="1"/>
  <c r="AB52" i="10" s="1"/>
  <c r="X64" i="10"/>
  <c r="Y64" i="10" s="1"/>
  <c r="AA64" i="10" s="1"/>
  <c r="AB64" i="10" s="1"/>
  <c r="X377" i="10"/>
  <c r="Y377" i="10" s="1"/>
  <c r="AA377" i="10" s="1"/>
  <c r="X343" i="10"/>
  <c r="Y343" i="10" s="1"/>
  <c r="AA343" i="10" s="1"/>
  <c r="X359" i="10"/>
  <c r="Y359" i="10" s="1"/>
  <c r="AA359" i="10" s="1"/>
  <c r="X368" i="10"/>
  <c r="Y368" i="10" s="1"/>
  <c r="AA368" i="10" s="1"/>
  <c r="X43" i="10"/>
  <c r="Y43" i="10" s="1"/>
  <c r="AA43" i="10" s="1"/>
  <c r="AB43" i="10" s="1"/>
  <c r="X53" i="10"/>
  <c r="Y53" i="10" s="1"/>
  <c r="AA53" i="10" s="1"/>
  <c r="AB53" i="10" s="1"/>
  <c r="X315" i="10"/>
  <c r="Y315" i="10" s="1"/>
  <c r="X320" i="10"/>
  <c r="Y320" i="10" s="1"/>
  <c r="AA320" i="10" s="1"/>
  <c r="X66" i="10"/>
  <c r="Y66" i="10" s="1"/>
  <c r="AA66" i="10" s="1"/>
  <c r="AB66" i="10" s="1"/>
  <c r="X347" i="10"/>
  <c r="Y347" i="10" s="1"/>
  <c r="AA347" i="10" s="1"/>
  <c r="X363" i="10"/>
  <c r="Y363" i="10" s="1"/>
  <c r="AA363" i="10" s="1"/>
  <c r="X376" i="10"/>
  <c r="Y376" i="10" s="1"/>
  <c r="AA376" i="10" s="1"/>
  <c r="X47" i="10"/>
  <c r="Y47" i="10" s="1"/>
  <c r="AA47" i="10" s="1"/>
  <c r="AB47" i="10" s="1"/>
  <c r="X330" i="10"/>
  <c r="Y330" i="10" s="1"/>
  <c r="AA330" i="10" s="1"/>
  <c r="X335" i="10"/>
  <c r="Y335" i="10" s="1"/>
  <c r="AA335" i="10" s="1"/>
  <c r="X321" i="10"/>
  <c r="Y321" i="10" s="1"/>
  <c r="AA321" i="10" s="1"/>
  <c r="X351" i="10"/>
  <c r="Y351" i="10" s="1"/>
  <c r="AA351" i="10" s="1"/>
  <c r="X73" i="10"/>
  <c r="Y73" i="10" s="1"/>
  <c r="AA73" i="10" s="1"/>
  <c r="AB73" i="10" s="1"/>
  <c r="X85" i="10"/>
  <c r="Y85" i="10" s="1"/>
  <c r="AA85" i="10" s="1"/>
  <c r="AB85" i="10" s="1"/>
  <c r="X48" i="10"/>
  <c r="Y48" i="10" s="1"/>
  <c r="AA48" i="10" s="1"/>
  <c r="AB48" i="10" s="1"/>
  <c r="X6" i="10"/>
  <c r="Y6" i="10" s="1"/>
  <c r="AA6" i="10" s="1"/>
  <c r="AB6" i="10" s="1"/>
  <c r="X10" i="10"/>
  <c r="Y10" i="10" s="1"/>
  <c r="AA10" i="10" s="1"/>
  <c r="AB10" i="10" s="1"/>
  <c r="X14" i="10"/>
  <c r="Y14" i="10" s="1"/>
  <c r="AA14" i="10" s="1"/>
  <c r="AB14" i="10" s="1"/>
  <c r="X11" i="10"/>
  <c r="Y11" i="10" s="1"/>
  <c r="AA11" i="10" s="1"/>
  <c r="AB11" i="10" s="1"/>
  <c r="X15" i="10"/>
  <c r="Y15" i="10" s="1"/>
  <c r="AA15" i="10" s="1"/>
  <c r="AB15" i="10" s="1"/>
  <c r="X5" i="10"/>
  <c r="Y5" i="10" s="1"/>
  <c r="AA5" i="10" s="1"/>
  <c r="AB5" i="10" s="1"/>
  <c r="X9" i="10"/>
  <c r="Y9" i="10" s="1"/>
  <c r="AA9" i="10" s="1"/>
  <c r="AB9" i="10" s="1"/>
  <c r="X13" i="10"/>
  <c r="Y13" i="10" s="1"/>
  <c r="AA13" i="10" s="1"/>
  <c r="AB13" i="10" s="1"/>
  <c r="X7" i="10"/>
  <c r="Y7" i="10" s="1"/>
  <c r="AA7" i="10" s="1"/>
  <c r="AB7" i="10" s="1"/>
  <c r="X8" i="10"/>
  <c r="Y8" i="10" s="1"/>
  <c r="AA8" i="10" s="1"/>
  <c r="AB8" i="10" s="1"/>
  <c r="X12" i="10"/>
  <c r="Y12" i="10" s="1"/>
  <c r="AA12" i="10" s="1"/>
  <c r="AB12" i="10" s="1"/>
  <c r="X16" i="10"/>
  <c r="X128" i="10"/>
  <c r="X82" i="10"/>
  <c r="X63" i="10"/>
  <c r="X41" i="10"/>
  <c r="Y41" i="10" s="1"/>
  <c r="AA41" i="10" s="1"/>
  <c r="X129" i="10"/>
  <c r="X83" i="10"/>
  <c r="Y83" i="10" s="1"/>
  <c r="X62" i="10"/>
  <c r="X42" i="10"/>
  <c r="Y42" i="10" s="1"/>
  <c r="X4" i="10"/>
  <c r="O10" i="16"/>
  <c r="X60" i="10"/>
  <c r="O7" i="16"/>
  <c r="AL143" i="10"/>
  <c r="Y56" i="10"/>
  <c r="Y57" i="10"/>
  <c r="AL203" i="10"/>
  <c r="AL369" i="10"/>
  <c r="AL158" i="10"/>
  <c r="AL339" i="10"/>
  <c r="AL354" i="10"/>
  <c r="AL309" i="10"/>
  <c r="AL278" i="10"/>
  <c r="AL293" i="10"/>
  <c r="AL248" i="10"/>
  <c r="AL233" i="10"/>
  <c r="AL188" i="10"/>
  <c r="AL218" i="10"/>
  <c r="AL263" i="10"/>
  <c r="AL173" i="10"/>
  <c r="AL324" i="10"/>
  <c r="AM369" i="10" l="1"/>
  <c r="AM233" i="10"/>
  <c r="AM339" i="10"/>
  <c r="AM158" i="10"/>
  <c r="AM324" i="10"/>
  <c r="AM309" i="10"/>
  <c r="AM354" i="10"/>
  <c r="AM293" i="10"/>
  <c r="AM278" i="10"/>
  <c r="AM248" i="10"/>
  <c r="AM218" i="10"/>
  <c r="AM203" i="10"/>
  <c r="AM188" i="10"/>
  <c r="AM173" i="10"/>
  <c r="AM143" i="10"/>
  <c r="AM263" i="10"/>
  <c r="AB351" i="10"/>
  <c r="AB321" i="10"/>
  <c r="AB320" i="10"/>
  <c r="AB327" i="10"/>
  <c r="AB354" i="10"/>
  <c r="AB233" i="10"/>
  <c r="AB250" i="10"/>
  <c r="AB361" i="10"/>
  <c r="AB232" i="10"/>
  <c r="AB217" i="10"/>
  <c r="AB335" i="10"/>
  <c r="AB363" i="10"/>
  <c r="AB315" i="10"/>
  <c r="AB359" i="10"/>
  <c r="AB355" i="10"/>
  <c r="AB342" i="10"/>
  <c r="AB266" i="10"/>
  <c r="AB268" i="10"/>
  <c r="AB170" i="10"/>
  <c r="AB380" i="10"/>
  <c r="AB353" i="10"/>
  <c r="AB381" i="10"/>
  <c r="AB323" i="10"/>
  <c r="AB229" i="10"/>
  <c r="AB313" i="10"/>
  <c r="AB312" i="10"/>
  <c r="AB189" i="10"/>
  <c r="AB191" i="10"/>
  <c r="AB379" i="10"/>
  <c r="AB348" i="10"/>
  <c r="AB324" i="10"/>
  <c r="AB318" i="10"/>
  <c r="AB272" i="10"/>
  <c r="AB306" i="10"/>
  <c r="AB228" i="10"/>
  <c r="AB276" i="10"/>
  <c r="AB308" i="10"/>
  <c r="AB226" i="10"/>
  <c r="AB172" i="10"/>
  <c r="AB207" i="10"/>
  <c r="AB214" i="10"/>
  <c r="AB290" i="10"/>
  <c r="AB237" i="10"/>
  <c r="AB256" i="10"/>
  <c r="AB291" i="10"/>
  <c r="AB239" i="10"/>
  <c r="AB254" i="10"/>
  <c r="AB197" i="10"/>
  <c r="AB163" i="10"/>
  <c r="AB148" i="10"/>
  <c r="AB198" i="10"/>
  <c r="AB156" i="10"/>
  <c r="AB382" i="10"/>
  <c r="AB314" i="10"/>
  <c r="AB218" i="10"/>
  <c r="AB194" i="10"/>
  <c r="AB152" i="10"/>
  <c r="AB141" i="10"/>
  <c r="AB158" i="10"/>
  <c r="AB346" i="10"/>
  <c r="AB329" i="10"/>
  <c r="AB219" i="10"/>
  <c r="AB372" i="10"/>
  <c r="AB337" i="10"/>
  <c r="AB307" i="10"/>
  <c r="AB248" i="10"/>
  <c r="AB296" i="10"/>
  <c r="AB216" i="10"/>
  <c r="AB206" i="10"/>
  <c r="AB160" i="10"/>
  <c r="AB150" i="10"/>
  <c r="AB134" i="10"/>
  <c r="AB215" i="10"/>
  <c r="AB330" i="10"/>
  <c r="AB343" i="10"/>
  <c r="AB339" i="10"/>
  <c r="AB367" i="10"/>
  <c r="AB316" i="10"/>
  <c r="AB295" i="10"/>
  <c r="AB236" i="10"/>
  <c r="AB235" i="10"/>
  <c r="AB364" i="10"/>
  <c r="AB345" i="10"/>
  <c r="AB365" i="10"/>
  <c r="AB294" i="10"/>
  <c r="AB277" i="10"/>
  <c r="AB287" i="10"/>
  <c r="AB262" i="10"/>
  <c r="AB173" i="10"/>
  <c r="AB145" i="10"/>
  <c r="AB371" i="10"/>
  <c r="AB360" i="10"/>
  <c r="AB344" i="10"/>
  <c r="AB378" i="10"/>
  <c r="AB303" i="10"/>
  <c r="AB257" i="10"/>
  <c r="AB274" i="10"/>
  <c r="AB309" i="10"/>
  <c r="AB259" i="10"/>
  <c r="AB275" i="10"/>
  <c r="AB213" i="10"/>
  <c r="AB168" i="10"/>
  <c r="AB188" i="10"/>
  <c r="AB195" i="10"/>
  <c r="AB282" i="10"/>
  <c r="AB221" i="10"/>
  <c r="AB240" i="10"/>
  <c r="AB283" i="10"/>
  <c r="AB223" i="10"/>
  <c r="AB238" i="10"/>
  <c r="AB181" i="10"/>
  <c r="AB153" i="10"/>
  <c r="AB143" i="10"/>
  <c r="AB174" i="10"/>
  <c r="AB334" i="10"/>
  <c r="AB252" i="10"/>
  <c r="AB267" i="10"/>
  <c r="AB178" i="10"/>
  <c r="AB196" i="10"/>
  <c r="AB136" i="10"/>
  <c r="AB208" i="10"/>
  <c r="AB375" i="10"/>
  <c r="AB338" i="10"/>
  <c r="AB289" i="10"/>
  <c r="AB220" i="10"/>
  <c r="AB373" i="10"/>
  <c r="AB278" i="10"/>
  <c r="AB298" i="10"/>
  <c r="AB246" i="10"/>
  <c r="AB159" i="10"/>
  <c r="AB185" i="10"/>
  <c r="AB151" i="10"/>
  <c r="AB146" i="10"/>
  <c r="AB209" i="10"/>
  <c r="AB203" i="10"/>
  <c r="AB377" i="10"/>
  <c r="AB369" i="10"/>
  <c r="AB362" i="10"/>
  <c r="AB366" i="10"/>
  <c r="AB264" i="10"/>
  <c r="AB299" i="10"/>
  <c r="AB297" i="10"/>
  <c r="AB322" i="10"/>
  <c r="AB341" i="10"/>
  <c r="AB333" i="10"/>
  <c r="AB286" i="10"/>
  <c r="AB263" i="10"/>
  <c r="AB265" i="10"/>
  <c r="AB230" i="10"/>
  <c r="AB165" i="10"/>
  <c r="AB200" i="10"/>
  <c r="AB328" i="10"/>
  <c r="AB356" i="10"/>
  <c r="AB340" i="10"/>
  <c r="AB370" i="10"/>
  <c r="AB293" i="10"/>
  <c r="AB241" i="10"/>
  <c r="AB260" i="10"/>
  <c r="AB292" i="10"/>
  <c r="AB243" i="10"/>
  <c r="AB258" i="10"/>
  <c r="AB202" i="10"/>
  <c r="AB164" i="10"/>
  <c r="AB149" i="10"/>
  <c r="AB201" i="10"/>
  <c r="AB176" i="10"/>
  <c r="AB269" i="10"/>
  <c r="AB301" i="10"/>
  <c r="AB224" i="10"/>
  <c r="AB273" i="10"/>
  <c r="AB304" i="10"/>
  <c r="AB222" i="10"/>
  <c r="AB171" i="10"/>
  <c r="AB204" i="10"/>
  <c r="AB211" i="10"/>
  <c r="AB326" i="10"/>
  <c r="AB311" i="10"/>
  <c r="AB288" i="10"/>
  <c r="AB234" i="10"/>
  <c r="AB166" i="10"/>
  <c r="AB175" i="10"/>
  <c r="AB184" i="10"/>
  <c r="AB374" i="10"/>
  <c r="AB249" i="10"/>
  <c r="AB357" i="10"/>
  <c r="AB245" i="10"/>
  <c r="AB279" i="10"/>
  <c r="AB205" i="10"/>
  <c r="AB140" i="10"/>
  <c r="AB130" i="10"/>
  <c r="AB199" i="10"/>
  <c r="AB142" i="10"/>
  <c r="AB193" i="10"/>
  <c r="AB187" i="10"/>
  <c r="AB347" i="10"/>
  <c r="AB376" i="10"/>
  <c r="AB368" i="10"/>
  <c r="AB319" i="10"/>
  <c r="AB280" i="10"/>
  <c r="AB261" i="10"/>
  <c r="AB231" i="10"/>
  <c r="AB161" i="10"/>
  <c r="AB317" i="10"/>
  <c r="AB352" i="10"/>
  <c r="AB336" i="10"/>
  <c r="AB331" i="10"/>
  <c r="AB285" i="10"/>
  <c r="AB225" i="10"/>
  <c r="AB244" i="10"/>
  <c r="AB284" i="10"/>
  <c r="AB227" i="10"/>
  <c r="AB242" i="10"/>
  <c r="AB186" i="10"/>
  <c r="AB154" i="10"/>
  <c r="AB144" i="10"/>
  <c r="AB182" i="10"/>
  <c r="AB302" i="10"/>
  <c r="AB253" i="10"/>
  <c r="AB271" i="10"/>
  <c r="AB305" i="10"/>
  <c r="AB255" i="10"/>
  <c r="AB270" i="10"/>
  <c r="AB212" i="10"/>
  <c r="AB167" i="10"/>
  <c r="AB180" i="10"/>
  <c r="AB132" i="10"/>
  <c r="AB192" i="10"/>
  <c r="AB350" i="10"/>
  <c r="AB281" i="10"/>
  <c r="AB251" i="10"/>
  <c r="AB210" i="10"/>
  <c r="AB162" i="10"/>
  <c r="AB147" i="10"/>
  <c r="AB190" i="10"/>
  <c r="AB155" i="10"/>
  <c r="AB358" i="10"/>
  <c r="AB300" i="10"/>
  <c r="AB349" i="10"/>
  <c r="AB332" i="10"/>
  <c r="AB310" i="10"/>
  <c r="AB247" i="10"/>
  <c r="AB169" i="10"/>
  <c r="AB179" i="10"/>
  <c r="AB183" i="10"/>
  <c r="AB138" i="10"/>
  <c r="AB177" i="10"/>
  <c r="AB157" i="10"/>
  <c r="AA42" i="10"/>
  <c r="AA57" i="10" s="1"/>
  <c r="Y16" i="10"/>
  <c r="AA56" i="10"/>
  <c r="AA16" i="10" l="1"/>
  <c r="T4" i="10"/>
  <c r="T3" i="10"/>
  <c r="O3" i="11"/>
  <c r="Z3" i="10" l="1"/>
  <c r="AB16" i="10"/>
  <c r="P4" i="11"/>
  <c r="P2" i="11"/>
  <c r="O4" i="11"/>
  <c r="O2" i="11"/>
  <c r="AO124" i="10" l="1"/>
  <c r="AO123" i="10"/>
  <c r="AO122" i="10"/>
  <c r="AO121" i="10"/>
  <c r="AP121" i="10" s="1"/>
  <c r="AN121" i="10"/>
  <c r="AN123" i="10" s="1"/>
  <c r="AN122" i="10" l="1"/>
  <c r="AP122" i="10"/>
  <c r="AP123" i="10"/>
  <c r="AP124" i="10"/>
  <c r="A114" i="10" l="1"/>
  <c r="C114" i="10"/>
  <c r="D114" i="10"/>
  <c r="E114" i="10"/>
  <c r="F114" i="10"/>
  <c r="G114" i="10"/>
  <c r="H114" i="10"/>
  <c r="I114" i="10"/>
  <c r="J114" i="10"/>
  <c r="K114" i="10"/>
  <c r="L114" i="10"/>
  <c r="M114" i="10"/>
  <c r="N114" i="10"/>
  <c r="O114" i="10"/>
  <c r="P114" i="10"/>
  <c r="Q114" i="10"/>
  <c r="R114" i="10"/>
  <c r="S114" i="10"/>
  <c r="T114" i="10"/>
  <c r="U114" i="10"/>
  <c r="V114" i="10"/>
  <c r="Z114" i="10" s="1"/>
  <c r="AD114" i="10"/>
  <c r="A115" i="10"/>
  <c r="C115" i="10"/>
  <c r="D115" i="10"/>
  <c r="E115" i="10"/>
  <c r="F115" i="10"/>
  <c r="G115" i="10"/>
  <c r="H115" i="10"/>
  <c r="I115" i="10"/>
  <c r="J115" i="10"/>
  <c r="K115" i="10"/>
  <c r="L115" i="10"/>
  <c r="M115" i="10"/>
  <c r="N115" i="10"/>
  <c r="O115" i="10"/>
  <c r="P115" i="10"/>
  <c r="Q115" i="10"/>
  <c r="R115" i="10"/>
  <c r="S115" i="10"/>
  <c r="T115" i="10"/>
  <c r="U115" i="10"/>
  <c r="V115" i="10"/>
  <c r="Z115" i="10" s="1"/>
  <c r="AD115" i="10"/>
  <c r="A104" i="10"/>
  <c r="C104" i="10"/>
  <c r="D104" i="10"/>
  <c r="E104" i="10"/>
  <c r="F104" i="10"/>
  <c r="G104" i="10"/>
  <c r="H104" i="10"/>
  <c r="I104" i="10"/>
  <c r="J104" i="10"/>
  <c r="K104" i="10"/>
  <c r="L104" i="10"/>
  <c r="M104" i="10"/>
  <c r="N104" i="10"/>
  <c r="O104" i="10"/>
  <c r="P104" i="10"/>
  <c r="Q104" i="10"/>
  <c r="R104" i="10"/>
  <c r="S104" i="10"/>
  <c r="T104" i="10"/>
  <c r="U104" i="10"/>
  <c r="V104" i="10"/>
  <c r="Z104" i="10" s="1"/>
  <c r="AD104" i="10"/>
  <c r="A105" i="10"/>
  <c r="C105" i="10"/>
  <c r="D105" i="10"/>
  <c r="E105" i="10"/>
  <c r="F105" i="10"/>
  <c r="G105" i="10"/>
  <c r="H105" i="10"/>
  <c r="I105" i="10"/>
  <c r="J105" i="10"/>
  <c r="K105" i="10"/>
  <c r="L105" i="10"/>
  <c r="M105" i="10"/>
  <c r="N105" i="10"/>
  <c r="O105" i="10"/>
  <c r="P105" i="10"/>
  <c r="Q105" i="10"/>
  <c r="R105" i="10"/>
  <c r="S105" i="10"/>
  <c r="T105" i="10"/>
  <c r="U105" i="10"/>
  <c r="V105" i="10"/>
  <c r="Z105" i="10" s="1"/>
  <c r="AD105" i="10"/>
  <c r="O11" i="16" l="1"/>
  <c r="N11" i="16"/>
  <c r="X114" i="10" l="1"/>
  <c r="Y114" i="10" s="1"/>
  <c r="AA114" i="10" s="1"/>
  <c r="AB114" i="10" s="1"/>
  <c r="X115" i="10"/>
  <c r="Y115" i="10" s="1"/>
  <c r="X104" i="10"/>
  <c r="Y104" i="10" s="1"/>
  <c r="AA104" i="10" s="1"/>
  <c r="AB104" i="10" s="1"/>
  <c r="X105" i="10"/>
  <c r="Y105" i="10" s="1"/>
  <c r="AA115" i="10" l="1"/>
  <c r="AB115" i="10" s="1"/>
  <c r="AA105" i="10"/>
  <c r="AB105" i="10" s="1"/>
  <c r="AD83" i="10" l="1"/>
  <c r="V83" i="10" l="1"/>
  <c r="Z83" i="10" s="1"/>
  <c r="T83" i="10"/>
  <c r="S83" i="10"/>
  <c r="R83" i="10"/>
  <c r="Q83" i="10"/>
  <c r="P83" i="10"/>
  <c r="O83" i="10"/>
  <c r="N83" i="10"/>
  <c r="M83" i="10"/>
  <c r="L83" i="10"/>
  <c r="K83" i="10"/>
  <c r="J83" i="10"/>
  <c r="I83" i="10"/>
  <c r="H83" i="10"/>
  <c r="G83" i="10"/>
  <c r="F83" i="10"/>
  <c r="E83" i="10"/>
  <c r="D83" i="10"/>
  <c r="C83" i="10"/>
  <c r="A83" i="10"/>
  <c r="AD63" i="10"/>
  <c r="AD62" i="10"/>
  <c r="AA83" i="10" l="1"/>
  <c r="AI83" i="10"/>
  <c r="X122" i="10"/>
  <c r="AB83" i="10" l="1"/>
  <c r="X120" i="10"/>
  <c r="X121" i="10"/>
  <c r="V82" i="10"/>
  <c r="Z82" i="10" s="1"/>
  <c r="T82" i="10"/>
  <c r="S82" i="10"/>
  <c r="R82" i="10"/>
  <c r="Q82" i="10"/>
  <c r="P82" i="10"/>
  <c r="O82" i="10"/>
  <c r="N82" i="10"/>
  <c r="M82" i="10"/>
  <c r="L82" i="10"/>
  <c r="K82" i="10"/>
  <c r="J82" i="10"/>
  <c r="I82" i="10"/>
  <c r="H82" i="10"/>
  <c r="G82" i="10"/>
  <c r="F82" i="10"/>
  <c r="E82" i="10"/>
  <c r="D82" i="10"/>
  <c r="C82" i="10"/>
  <c r="S98" i="10"/>
  <c r="S97" i="10"/>
  <c r="AI82" i="10" l="1"/>
  <c r="A82" i="10"/>
  <c r="O119" i="10" l="1"/>
  <c r="V129" i="10" l="1"/>
  <c r="U129" i="10"/>
  <c r="T129" i="10"/>
  <c r="Z129" i="10" s="1"/>
  <c r="S129" i="10"/>
  <c r="V128" i="10"/>
  <c r="U128" i="10"/>
  <c r="T128" i="10"/>
  <c r="Z128" i="10" s="1"/>
  <c r="S128" i="10"/>
  <c r="V63" i="10"/>
  <c r="T63" i="10"/>
  <c r="S63" i="10"/>
  <c r="V62" i="10"/>
  <c r="T62" i="10"/>
  <c r="S62" i="10"/>
  <c r="T42" i="10"/>
  <c r="S42" i="10"/>
  <c r="T41" i="10"/>
  <c r="S41" i="10"/>
  <c r="V42" i="10"/>
  <c r="Z42" i="10" s="1"/>
  <c r="V41" i="10"/>
  <c r="Z41" i="10" s="1"/>
  <c r="S4" i="10"/>
  <c r="Q4" i="10"/>
  <c r="U56" i="10"/>
  <c r="U57" i="10"/>
  <c r="S56" i="10"/>
  <c r="S57" i="10"/>
  <c r="T18" i="10"/>
  <c r="S19" i="10"/>
  <c r="S78" i="10"/>
  <c r="S77" i="10"/>
  <c r="Z56" i="10"/>
  <c r="S18" i="10"/>
  <c r="AB41" i="10" l="1"/>
  <c r="AB42" i="10"/>
  <c r="BK62" i="10"/>
  <c r="Y129" i="10" l="1"/>
  <c r="AA129" i="10" s="1"/>
  <c r="Y82" i="10"/>
  <c r="AC119" i="10"/>
  <c r="Y119" i="10"/>
  <c r="X3" i="10"/>
  <c r="Y96" i="10"/>
  <c r="Z96" i="10"/>
  <c r="Y97" i="10"/>
  <c r="X18" i="10"/>
  <c r="AB129" i="10" l="1"/>
  <c r="Y3" i="10"/>
  <c r="Y4" i="10"/>
  <c r="AA82" i="10"/>
  <c r="V123" i="10"/>
  <c r="U123" i="10"/>
  <c r="Y18" i="10"/>
  <c r="Y19" i="10"/>
  <c r="AA97" i="10"/>
  <c r="AA98" i="10" l="1"/>
  <c r="AA3" i="10"/>
  <c r="AB82" i="10"/>
  <c r="Z4" i="10"/>
  <c r="V122" i="10"/>
  <c r="U122" i="10"/>
  <c r="BK2" i="10"/>
  <c r="AZ20" i="10"/>
  <c r="AW19" i="10"/>
  <c r="AX19" i="10" s="1"/>
  <c r="AV19" i="10"/>
  <c r="AV20" i="10" s="1"/>
  <c r="Z18" i="10"/>
  <c r="AB3" i="10" l="1"/>
  <c r="Y122" i="10"/>
  <c r="Y121" i="10"/>
  <c r="Y120" i="10"/>
  <c r="Y123" i="10"/>
  <c r="AW20" i="10"/>
  <c r="AX20" i="10" s="1"/>
  <c r="AW21" i="10"/>
  <c r="AX21" i="10" s="1"/>
  <c r="AZ25" i="10" l="1"/>
  <c r="AZ22" i="10"/>
  <c r="AV21" i="10"/>
  <c r="AV22" i="10" s="1"/>
  <c r="AW22" i="10" s="1"/>
  <c r="AX22" i="10" s="1"/>
  <c r="AV24" i="10" l="1"/>
  <c r="AW24" i="10" s="1"/>
  <c r="AX24" i="10" s="1"/>
  <c r="AV25" i="10"/>
  <c r="AV23" i="10"/>
  <c r="AW23" i="10" s="1"/>
  <c r="AX23" i="10" s="1"/>
  <c r="Z63" i="10"/>
  <c r="R63" i="10"/>
  <c r="Q63" i="10"/>
  <c r="P63" i="10"/>
  <c r="O63" i="10"/>
  <c r="N63" i="10"/>
  <c r="M63" i="10"/>
  <c r="L63" i="10"/>
  <c r="K63" i="10"/>
  <c r="J63" i="10"/>
  <c r="I63" i="10"/>
  <c r="H63" i="10"/>
  <c r="G63" i="10"/>
  <c r="F63" i="10"/>
  <c r="E63" i="10"/>
  <c r="D63" i="10"/>
  <c r="C63" i="10"/>
  <c r="A63" i="10"/>
  <c r="AI63" i="10" l="1"/>
  <c r="AW25" i="10"/>
  <c r="AX25" i="10" s="1"/>
  <c r="Z62" i="10"/>
  <c r="R62" i="10"/>
  <c r="Q62" i="10"/>
  <c r="P62" i="10"/>
  <c r="O62" i="10"/>
  <c r="N62" i="10"/>
  <c r="M62" i="10"/>
  <c r="L62" i="10"/>
  <c r="K62" i="10"/>
  <c r="J62" i="10"/>
  <c r="I62" i="10"/>
  <c r="H62" i="10"/>
  <c r="G62" i="10"/>
  <c r="F62" i="10"/>
  <c r="E62" i="10"/>
  <c r="D62" i="10"/>
  <c r="C62" i="10"/>
  <c r="AI62" i="10" l="1"/>
  <c r="BL62" i="10"/>
  <c r="U123" i="11"/>
  <c r="AI127" i="10" l="1"/>
  <c r="P20" i="11" l="1"/>
  <c r="AD3" i="10" l="1"/>
  <c r="R3" i="10"/>
  <c r="Q3" i="10"/>
  <c r="P3" i="10"/>
  <c r="O3" i="10"/>
  <c r="N3" i="10"/>
  <c r="M3" i="10"/>
  <c r="L3" i="10"/>
  <c r="K3" i="10"/>
  <c r="J3" i="10"/>
  <c r="I3" i="10"/>
  <c r="H3" i="10"/>
  <c r="G3" i="10"/>
  <c r="F3" i="10"/>
  <c r="E3" i="10"/>
  <c r="D3" i="10"/>
  <c r="C3" i="10"/>
  <c r="A3" i="10"/>
  <c r="AD4" i="10"/>
  <c r="R4" i="10"/>
  <c r="P4" i="10"/>
  <c r="O4" i="10"/>
  <c r="AI4" i="10" s="1"/>
  <c r="N4" i="10"/>
  <c r="M4" i="10"/>
  <c r="L4" i="10"/>
  <c r="K4" i="10"/>
  <c r="J4" i="10"/>
  <c r="I4" i="10"/>
  <c r="H4" i="10"/>
  <c r="G4" i="10"/>
  <c r="F4" i="10"/>
  <c r="E4" i="10"/>
  <c r="D4" i="10"/>
  <c r="C4" i="10"/>
  <c r="A4" i="10"/>
  <c r="L33" i="10" a="1"/>
  <c r="L34" i="10" a="1"/>
  <c r="Q33" i="10" l="1"/>
  <c r="L33" i="10"/>
  <c r="N33" i="10"/>
  <c r="P33" i="10"/>
  <c r="R33" i="10"/>
  <c r="M33" i="10"/>
  <c r="O33" i="10"/>
  <c r="R34" i="10"/>
  <c r="O34" i="10"/>
  <c r="M34" i="10"/>
  <c r="L34" i="10"/>
  <c r="Q34" i="10"/>
  <c r="P34" i="10"/>
  <c r="N34" i="10"/>
  <c r="AI3" i="10"/>
  <c r="AN3" i="10"/>
  <c r="AP2" i="10"/>
  <c r="BL2" i="10" s="1"/>
  <c r="AN4" i="10"/>
  <c r="AO4" i="10" s="1"/>
  <c r="AH43" i="10" l="1"/>
  <c r="AH48" i="10"/>
  <c r="AH45" i="10"/>
  <c r="AH52" i="10"/>
  <c r="AH47" i="10"/>
  <c r="AH44" i="10"/>
  <c r="AH90" i="10"/>
  <c r="AH70" i="10"/>
  <c r="AH95" i="10"/>
  <c r="AH71" i="10"/>
  <c r="AH93" i="10"/>
  <c r="AH69" i="10"/>
  <c r="AH68" i="10"/>
  <c r="AH86" i="10"/>
  <c r="AH91" i="10"/>
  <c r="AH88" i="10"/>
  <c r="AH73" i="10"/>
  <c r="AH84" i="10"/>
  <c r="AH64" i="10"/>
  <c r="AH65" i="10"/>
  <c r="AH67" i="10"/>
  <c r="AH72" i="10"/>
  <c r="AH66" i="10"/>
  <c r="AH75" i="10"/>
  <c r="AH92" i="10"/>
  <c r="AH74" i="10"/>
  <c r="AH94" i="10"/>
  <c r="AH89" i="10"/>
  <c r="AH87" i="10"/>
  <c r="AH85" i="10"/>
  <c r="AH53" i="10"/>
  <c r="AH51" i="10"/>
  <c r="AH46" i="10"/>
  <c r="AH49" i="10"/>
  <c r="AH50" i="10"/>
  <c r="AH54" i="10"/>
  <c r="AH374" i="10"/>
  <c r="AH336" i="10"/>
  <c r="AH318" i="10"/>
  <c r="AH361" i="10"/>
  <c r="AH316" i="10"/>
  <c r="AH251" i="10"/>
  <c r="AH291" i="10"/>
  <c r="AH226" i="10"/>
  <c r="AH261" i="10"/>
  <c r="AH293" i="10"/>
  <c r="AH232" i="10"/>
  <c r="AH358" i="10"/>
  <c r="AH319" i="10"/>
  <c r="AH364" i="10"/>
  <c r="AH351" i="10"/>
  <c r="AH298" i="10"/>
  <c r="AH231" i="10"/>
  <c r="AH270" i="10"/>
  <c r="AH303" i="10"/>
  <c r="AH241" i="10"/>
  <c r="AH274" i="10"/>
  <c r="AH382" i="10"/>
  <c r="AH340" i="10"/>
  <c r="AH329" i="10"/>
  <c r="AH367" i="10"/>
  <c r="AH259" i="10"/>
  <c r="AH362" i="10"/>
  <c r="AH324" i="10"/>
  <c r="AH372" i="10"/>
  <c r="AH355" i="10"/>
  <c r="AH305" i="10"/>
  <c r="AH239" i="10"/>
  <c r="AH279" i="10"/>
  <c r="AH311" i="10"/>
  <c r="AH249" i="10"/>
  <c r="AH281" i="10"/>
  <c r="AH219" i="10"/>
  <c r="AH360" i="10"/>
  <c r="AH320" i="10"/>
  <c r="AH368" i="10"/>
  <c r="AH353" i="10"/>
  <c r="AH299" i="10"/>
  <c r="AH235" i="10"/>
  <c r="AH275" i="10"/>
  <c r="AH307" i="10"/>
  <c r="AH245" i="10"/>
  <c r="AH277" i="10"/>
  <c r="AH215" i="10"/>
  <c r="AH350" i="10"/>
  <c r="AH369" i="10"/>
  <c r="AH322" i="10"/>
  <c r="AH343" i="10"/>
  <c r="AH280" i="10"/>
  <c r="AH218" i="10"/>
  <c r="AH254" i="10"/>
  <c r="AH290" i="10"/>
  <c r="AH225" i="10"/>
  <c r="AH260" i="10"/>
  <c r="AH366" i="10"/>
  <c r="AH333" i="10"/>
  <c r="AH376" i="10"/>
  <c r="AH357" i="10"/>
  <c r="AH309" i="10"/>
  <c r="AH243" i="10"/>
  <c r="AH354" i="10"/>
  <c r="AH377" i="10"/>
  <c r="AH328" i="10"/>
  <c r="AH347" i="10"/>
  <c r="AH288" i="10"/>
  <c r="AH223" i="10"/>
  <c r="AH262" i="10"/>
  <c r="AH295" i="10"/>
  <c r="AH233" i="10"/>
  <c r="AH266" i="10"/>
  <c r="AH206" i="10"/>
  <c r="AH138" i="10"/>
  <c r="AH155" i="10"/>
  <c r="AH163" i="10"/>
  <c r="AH175" i="10"/>
  <c r="AH137" i="10"/>
  <c r="AH136" i="10"/>
  <c r="AH212" i="10"/>
  <c r="AH161" i="10"/>
  <c r="AH172" i="10"/>
  <c r="AH135" i="10"/>
  <c r="AH157" i="10"/>
  <c r="AH195" i="10"/>
  <c r="AH178" i="10"/>
  <c r="AH199" i="10"/>
  <c r="AH149" i="10"/>
  <c r="AH297" i="10"/>
  <c r="AH234" i="10"/>
  <c r="AH269" i="10"/>
  <c r="AH301" i="10"/>
  <c r="AH240" i="10"/>
  <c r="AH177" i="10"/>
  <c r="AH208" i="10"/>
  <c r="AH189" i="10"/>
  <c r="AH216" i="10"/>
  <c r="AH160" i="10"/>
  <c r="AH352" i="10"/>
  <c r="AH373" i="10"/>
  <c r="AH327" i="10"/>
  <c r="AH345" i="10"/>
  <c r="AH284" i="10"/>
  <c r="AH220" i="10"/>
  <c r="AH258" i="10"/>
  <c r="AH294" i="10"/>
  <c r="AH229" i="10"/>
  <c r="AH263" i="10"/>
  <c r="AH201" i="10"/>
  <c r="AH342" i="10"/>
  <c r="AH331" i="10"/>
  <c r="AH371" i="10"/>
  <c r="AH326" i="10"/>
  <c r="AH265" i="10"/>
  <c r="AH304" i="10"/>
  <c r="AH238" i="10"/>
  <c r="AH272" i="10"/>
  <c r="AH306" i="10"/>
  <c r="AH244" i="10"/>
  <c r="AH356" i="10"/>
  <c r="AH381" i="10"/>
  <c r="AH330" i="10"/>
  <c r="AH349" i="10"/>
  <c r="AH292" i="10"/>
  <c r="AH227" i="10"/>
  <c r="AH346" i="10"/>
  <c r="AH334" i="10"/>
  <c r="AH379" i="10"/>
  <c r="AH339" i="10"/>
  <c r="AH273" i="10"/>
  <c r="AH312" i="10"/>
  <c r="AH246" i="10"/>
  <c r="AH344" i="10"/>
  <c r="AH332" i="10"/>
  <c r="AH375" i="10"/>
  <c r="AH337" i="10"/>
  <c r="AH268" i="10"/>
  <c r="AH308" i="10"/>
  <c r="AH242" i="10"/>
  <c r="AH278" i="10"/>
  <c r="AH310" i="10"/>
  <c r="AH248" i="10"/>
  <c r="AH370" i="10"/>
  <c r="AH335" i="10"/>
  <c r="AH380" i="10"/>
  <c r="AH359" i="10"/>
  <c r="AH313" i="10"/>
  <c r="AH247" i="10"/>
  <c r="AH287" i="10"/>
  <c r="AH222" i="10"/>
  <c r="AH257" i="10"/>
  <c r="AH289" i="10"/>
  <c r="AH228" i="10"/>
  <c r="AH348" i="10"/>
  <c r="AH365" i="10"/>
  <c r="AH317" i="10"/>
  <c r="AH341" i="10"/>
  <c r="AH276" i="10"/>
  <c r="AH378" i="10"/>
  <c r="AH338" i="10"/>
  <c r="AH323" i="10"/>
  <c r="AH363" i="10"/>
  <c r="AH321" i="10"/>
  <c r="AH255" i="10"/>
  <c r="AH296" i="10"/>
  <c r="AH230" i="10"/>
  <c r="AH264" i="10"/>
  <c r="AH300" i="10"/>
  <c r="AH236" i="10"/>
  <c r="AH174" i="10"/>
  <c r="AH203" i="10"/>
  <c r="AH186" i="10"/>
  <c r="AH207" i="10"/>
  <c r="AH152" i="10"/>
  <c r="AH158" i="10"/>
  <c r="AH200" i="10"/>
  <c r="AH181" i="10"/>
  <c r="AH204" i="10"/>
  <c r="AH150" i="10"/>
  <c r="AH198" i="10"/>
  <c r="AH134" i="10"/>
  <c r="AH210" i="10"/>
  <c r="AH159" i="10"/>
  <c r="AH170" i="10"/>
  <c r="AH133" i="10"/>
  <c r="AH267" i="10"/>
  <c r="AH302" i="10"/>
  <c r="AH237" i="10"/>
  <c r="AH271" i="10"/>
  <c r="AH209" i="10"/>
  <c r="AH140" i="10"/>
  <c r="AH176" i="10"/>
  <c r="AH165" i="10"/>
  <c r="AH180" i="10"/>
  <c r="AH139" i="10"/>
  <c r="AH282" i="10"/>
  <c r="AH146" i="10"/>
  <c r="AH171" i="10"/>
  <c r="AH145" i="10"/>
  <c r="AH184" i="10"/>
  <c r="AH188" i="10"/>
  <c r="AH182" i="10"/>
  <c r="AH194" i="10"/>
  <c r="AH162" i="10"/>
  <c r="AH250" i="10"/>
  <c r="AH221" i="10"/>
  <c r="AH193" i="10"/>
  <c r="AH205" i="10"/>
  <c r="AH168" i="10"/>
  <c r="AH314" i="10"/>
  <c r="AH130" i="10"/>
  <c r="AH154" i="10"/>
  <c r="AH185" i="10"/>
  <c r="AH197" i="10"/>
  <c r="AH164" i="10"/>
  <c r="AH142" i="10"/>
  <c r="AH167" i="10"/>
  <c r="AH141" i="10"/>
  <c r="AH315" i="10"/>
  <c r="AH285" i="10"/>
  <c r="AH148" i="10"/>
  <c r="AH173" i="10"/>
  <c r="AH147" i="10"/>
  <c r="AH252" i="10"/>
  <c r="AH187" i="10"/>
  <c r="AH191" i="10"/>
  <c r="AH144" i="10"/>
  <c r="AH169" i="10"/>
  <c r="AH143" i="10"/>
  <c r="AH213" i="10"/>
  <c r="AH151" i="10"/>
  <c r="AH217" i="10"/>
  <c r="AH286" i="10"/>
  <c r="AH256" i="10"/>
  <c r="AH132" i="10"/>
  <c r="AH156" i="10"/>
  <c r="AH131" i="10"/>
  <c r="AH190" i="10"/>
  <c r="AH202" i="10"/>
  <c r="AH166" i="10"/>
  <c r="AH214" i="10"/>
  <c r="AH153" i="10"/>
  <c r="AH211" i="10"/>
  <c r="AH179" i="10"/>
  <c r="AH183" i="10"/>
  <c r="AH283" i="10"/>
  <c r="AH253" i="10"/>
  <c r="AH224" i="10"/>
  <c r="AH192" i="10"/>
  <c r="AH196" i="10"/>
  <c r="AH5" i="10"/>
  <c r="AH9" i="10"/>
  <c r="AH13" i="10"/>
  <c r="AH6" i="10"/>
  <c r="AH12" i="10"/>
  <c r="AH7" i="10"/>
  <c r="AH8" i="10"/>
  <c r="AH10" i="10"/>
  <c r="AH11" i="10"/>
  <c r="AH15" i="10"/>
  <c r="AH14" i="10"/>
  <c r="AH16" i="10"/>
  <c r="AH3" i="10"/>
  <c r="AO3" i="10"/>
  <c r="Y128" i="10"/>
  <c r="AA128" i="10" s="1"/>
  <c r="J113" i="11"/>
  <c r="AL128" i="10"/>
  <c r="AM128" i="10" l="1"/>
  <c r="AB128" i="10"/>
  <c r="Y63" i="10"/>
  <c r="AW35" i="10"/>
  <c r="AW34" i="10"/>
  <c r="AW33" i="10"/>
  <c r="AW31" i="10"/>
  <c r="AW30" i="10"/>
  <c r="AW29" i="10"/>
  <c r="AW28" i="10"/>
  <c r="AW27" i="10"/>
  <c r="AW26" i="10"/>
  <c r="AA63" i="10" l="1"/>
  <c r="AH119" i="11"/>
  <c r="AJ119" i="11" s="1"/>
  <c r="AH120" i="11" s="1"/>
  <c r="AJ115" i="11"/>
  <c r="AJ113" i="11"/>
  <c r="AB63" i="10" l="1"/>
  <c r="B316" i="13"/>
  <c r="F316" i="13"/>
  <c r="H316" i="13"/>
  <c r="K316" i="13"/>
  <c r="B317" i="13"/>
  <c r="F317" i="13"/>
  <c r="H317" i="13"/>
  <c r="K317" i="13"/>
  <c r="B318" i="13"/>
  <c r="F318" i="13"/>
  <c r="H318" i="13"/>
  <c r="K318" i="13"/>
  <c r="B319" i="13"/>
  <c r="F319" i="13"/>
  <c r="H319" i="13"/>
  <c r="K319" i="13"/>
  <c r="B320" i="13"/>
  <c r="F320" i="13"/>
  <c r="H320" i="13"/>
  <c r="K320" i="13"/>
  <c r="B321" i="13"/>
  <c r="F321" i="13"/>
  <c r="H321" i="13"/>
  <c r="K321" i="13"/>
  <c r="B322" i="13"/>
  <c r="F322" i="13"/>
  <c r="H322" i="13"/>
  <c r="K322" i="13"/>
  <c r="B323" i="13"/>
  <c r="F323" i="13"/>
  <c r="H323" i="13"/>
  <c r="K323" i="13"/>
  <c r="B324" i="13"/>
  <c r="F324" i="13"/>
  <c r="H324" i="13"/>
  <c r="K324" i="13"/>
  <c r="B325" i="13"/>
  <c r="F325" i="13"/>
  <c r="H325" i="13"/>
  <c r="K325" i="13"/>
  <c r="B326" i="13"/>
  <c r="F326" i="13"/>
  <c r="H326" i="13"/>
  <c r="K326" i="13"/>
  <c r="B327" i="13"/>
  <c r="F327" i="13"/>
  <c r="H327" i="13"/>
  <c r="K327" i="13"/>
  <c r="B328" i="13"/>
  <c r="F328" i="13"/>
  <c r="H328" i="13"/>
  <c r="K328" i="13"/>
  <c r="B329" i="13"/>
  <c r="F329" i="13"/>
  <c r="H329" i="13"/>
  <c r="K329" i="13"/>
  <c r="B330" i="13"/>
  <c r="F330" i="13"/>
  <c r="H330" i="13"/>
  <c r="K330" i="13"/>
  <c r="B331" i="13"/>
  <c r="F331" i="13"/>
  <c r="H331" i="13"/>
  <c r="K331" i="13"/>
  <c r="B332" i="13"/>
  <c r="F332" i="13"/>
  <c r="H332" i="13"/>
  <c r="K332" i="13"/>
  <c r="B333" i="13"/>
  <c r="F333" i="13"/>
  <c r="H333" i="13"/>
  <c r="K333" i="13"/>
  <c r="B334" i="13"/>
  <c r="F334" i="13"/>
  <c r="H334" i="13"/>
  <c r="K334" i="13"/>
  <c r="B7" i="13"/>
  <c r="F7" i="13"/>
  <c r="G7" i="13"/>
  <c r="H7" i="13" s="1"/>
  <c r="I7" i="13" s="1"/>
  <c r="J7" i="13" s="1"/>
  <c r="K7" i="13" s="1"/>
  <c r="B8" i="13"/>
  <c r="F8" i="13"/>
  <c r="G8" i="13"/>
  <c r="H8" i="13" s="1"/>
  <c r="I8" i="13" s="1"/>
  <c r="J8" i="13" s="1"/>
  <c r="K8" i="13" s="1"/>
  <c r="B9" i="13"/>
  <c r="F9" i="13"/>
  <c r="G9" i="13"/>
  <c r="H9" i="13" s="1"/>
  <c r="I9" i="13" s="1"/>
  <c r="J9" i="13" s="1"/>
  <c r="K9" i="13" s="1"/>
  <c r="B10" i="13"/>
  <c r="F10" i="13"/>
  <c r="G10" i="13"/>
  <c r="H10" i="13" s="1"/>
  <c r="I10" i="13" s="1"/>
  <c r="J10" i="13" s="1"/>
  <c r="K10" i="13" s="1"/>
  <c r="B11" i="13"/>
  <c r="F11" i="13"/>
  <c r="G11" i="13"/>
  <c r="H11" i="13" s="1"/>
  <c r="I11" i="13" s="1"/>
  <c r="J11" i="13" s="1"/>
  <c r="K11" i="13" s="1"/>
  <c r="B12" i="13"/>
  <c r="F12" i="13"/>
  <c r="G12" i="13"/>
  <c r="H12" i="13" s="1"/>
  <c r="I12" i="13" s="1"/>
  <c r="J12" i="13" s="1"/>
  <c r="K12" i="13" s="1"/>
  <c r="B13" i="13"/>
  <c r="F13" i="13"/>
  <c r="G13" i="13"/>
  <c r="H13" i="13" s="1"/>
  <c r="I13" i="13" s="1"/>
  <c r="J13" i="13" s="1"/>
  <c r="K13" i="13" s="1"/>
  <c r="B14" i="13"/>
  <c r="F14" i="13"/>
  <c r="G14" i="13"/>
  <c r="H14" i="13" s="1"/>
  <c r="I14" i="13" s="1"/>
  <c r="J14" i="13" s="1"/>
  <c r="K14" i="13" s="1"/>
  <c r="B15" i="13"/>
  <c r="F15" i="13"/>
  <c r="G15" i="13"/>
  <c r="H15" i="13" s="1"/>
  <c r="I15" i="13" s="1"/>
  <c r="J15" i="13" s="1"/>
  <c r="K15" i="13" s="1"/>
  <c r="B16" i="13"/>
  <c r="F16" i="13"/>
  <c r="G16" i="13"/>
  <c r="H16" i="13" s="1"/>
  <c r="I16" i="13" s="1"/>
  <c r="J16" i="13" s="1"/>
  <c r="K16" i="13" s="1"/>
  <c r="B17" i="13"/>
  <c r="F17" i="13"/>
  <c r="G17" i="13"/>
  <c r="H17" i="13" s="1"/>
  <c r="I17" i="13" s="1"/>
  <c r="J17" i="13" s="1"/>
  <c r="K17" i="13" s="1"/>
  <c r="B18" i="13"/>
  <c r="F18" i="13"/>
  <c r="G18" i="13"/>
  <c r="H18" i="13" s="1"/>
  <c r="I18" i="13" s="1"/>
  <c r="J18" i="13" s="1"/>
  <c r="K18" i="13" s="1"/>
  <c r="B19" i="13"/>
  <c r="F19" i="13"/>
  <c r="G19" i="13"/>
  <c r="H19" i="13" s="1"/>
  <c r="I19" i="13" s="1"/>
  <c r="J19" i="13" s="1"/>
  <c r="K19" i="13" s="1"/>
  <c r="B20" i="13"/>
  <c r="F20" i="13"/>
  <c r="G20" i="13"/>
  <c r="H20" i="13" s="1"/>
  <c r="I20" i="13" s="1"/>
  <c r="J20" i="13" s="1"/>
  <c r="K20" i="13" s="1"/>
  <c r="B21" i="13"/>
  <c r="F21" i="13"/>
  <c r="G21" i="13"/>
  <c r="H21" i="13" s="1"/>
  <c r="I21" i="13" s="1"/>
  <c r="J21" i="13" s="1"/>
  <c r="K21" i="13" s="1"/>
  <c r="B22" i="13"/>
  <c r="F22" i="13"/>
  <c r="G22" i="13"/>
  <c r="H22" i="13" s="1"/>
  <c r="I22" i="13" s="1"/>
  <c r="J22" i="13" s="1"/>
  <c r="K22" i="13" s="1"/>
  <c r="B23" i="13"/>
  <c r="F23" i="13"/>
  <c r="G23" i="13"/>
  <c r="H23" i="13" s="1"/>
  <c r="I23" i="13" s="1"/>
  <c r="J23" i="13" s="1"/>
  <c r="K23" i="13" s="1"/>
  <c r="B24" i="13"/>
  <c r="F24" i="13"/>
  <c r="G24" i="13"/>
  <c r="H24" i="13" s="1"/>
  <c r="I24" i="13" s="1"/>
  <c r="J24" i="13" s="1"/>
  <c r="K24" i="13" s="1"/>
  <c r="B25" i="13"/>
  <c r="F25" i="13"/>
  <c r="G25" i="13"/>
  <c r="H25" i="13" s="1"/>
  <c r="I25" i="13" s="1"/>
  <c r="J25" i="13" s="1"/>
  <c r="K25" i="13" s="1"/>
  <c r="B26" i="13"/>
  <c r="F26" i="13"/>
  <c r="G26" i="13"/>
  <c r="H26" i="13" s="1"/>
  <c r="I26" i="13" s="1"/>
  <c r="J26" i="13" s="1"/>
  <c r="K26" i="13" s="1"/>
  <c r="B27" i="13"/>
  <c r="F27" i="13"/>
  <c r="G27" i="13"/>
  <c r="H27" i="13" s="1"/>
  <c r="I27" i="13" s="1"/>
  <c r="J27" i="13" s="1"/>
  <c r="K27" i="13" s="1"/>
  <c r="B28" i="13"/>
  <c r="F28" i="13"/>
  <c r="G28" i="13"/>
  <c r="H28" i="13" s="1"/>
  <c r="I28" i="13" s="1"/>
  <c r="J28" i="13" s="1"/>
  <c r="K28" i="13" s="1"/>
  <c r="B29" i="13"/>
  <c r="F29" i="13"/>
  <c r="G29" i="13"/>
  <c r="H29" i="13" s="1"/>
  <c r="I29" i="13" s="1"/>
  <c r="J29" i="13" s="1"/>
  <c r="K29" i="13" s="1"/>
  <c r="B30" i="13"/>
  <c r="F30" i="13"/>
  <c r="G30" i="13"/>
  <c r="H30" i="13" s="1"/>
  <c r="I30" i="13" s="1"/>
  <c r="J30" i="13" s="1"/>
  <c r="K30" i="13" s="1"/>
  <c r="B31" i="13"/>
  <c r="F31" i="13"/>
  <c r="G31" i="13"/>
  <c r="H31" i="13" s="1"/>
  <c r="I31" i="13" s="1"/>
  <c r="J31" i="13" s="1"/>
  <c r="K31" i="13" s="1"/>
  <c r="B32" i="13"/>
  <c r="F32" i="13"/>
  <c r="G32" i="13"/>
  <c r="H32" i="13" s="1"/>
  <c r="I32" i="13" s="1"/>
  <c r="J32" i="13" s="1"/>
  <c r="K32" i="13" s="1"/>
  <c r="B33" i="13"/>
  <c r="F33" i="13"/>
  <c r="G33" i="13"/>
  <c r="H33" i="13" s="1"/>
  <c r="I33" i="13" s="1"/>
  <c r="J33" i="13" s="1"/>
  <c r="K33" i="13" s="1"/>
  <c r="B34" i="13"/>
  <c r="F34" i="13"/>
  <c r="G34" i="13"/>
  <c r="H34" i="13" s="1"/>
  <c r="I34" i="13" s="1"/>
  <c r="J34" i="13" s="1"/>
  <c r="K34" i="13" s="1"/>
  <c r="B35" i="13"/>
  <c r="F35" i="13"/>
  <c r="G35" i="13"/>
  <c r="H35" i="13" s="1"/>
  <c r="I35" i="13" s="1"/>
  <c r="J35" i="13" s="1"/>
  <c r="K35" i="13" s="1"/>
  <c r="B36" i="13"/>
  <c r="F36" i="13"/>
  <c r="G36" i="13"/>
  <c r="H36" i="13" s="1"/>
  <c r="I36" i="13" s="1"/>
  <c r="J36" i="13" s="1"/>
  <c r="K36" i="13" s="1"/>
  <c r="B37" i="13"/>
  <c r="F37" i="13"/>
  <c r="G37" i="13"/>
  <c r="H37" i="13" s="1"/>
  <c r="I37" i="13" s="1"/>
  <c r="J37" i="13" s="1"/>
  <c r="K37" i="13" s="1"/>
  <c r="B38" i="13"/>
  <c r="F38" i="13"/>
  <c r="G38" i="13"/>
  <c r="H38" i="13" s="1"/>
  <c r="I38" i="13" s="1"/>
  <c r="J38" i="13" s="1"/>
  <c r="K38" i="13" s="1"/>
  <c r="B39" i="13"/>
  <c r="F39" i="13"/>
  <c r="G39" i="13"/>
  <c r="H39" i="13" s="1"/>
  <c r="I39" i="13" s="1"/>
  <c r="J39" i="13" s="1"/>
  <c r="K39" i="13" s="1"/>
  <c r="B40" i="13"/>
  <c r="F40" i="13"/>
  <c r="G40" i="13"/>
  <c r="H40" i="13" s="1"/>
  <c r="I40" i="13" s="1"/>
  <c r="J40" i="13" s="1"/>
  <c r="K40" i="13" s="1"/>
  <c r="B41" i="13"/>
  <c r="F41" i="13"/>
  <c r="G41" i="13"/>
  <c r="H41" i="13" s="1"/>
  <c r="I41" i="13" s="1"/>
  <c r="J41" i="13" s="1"/>
  <c r="K41" i="13" s="1"/>
  <c r="B42" i="13"/>
  <c r="F42" i="13"/>
  <c r="G42" i="13"/>
  <c r="H42" i="13" s="1"/>
  <c r="I42" i="13" s="1"/>
  <c r="J42" i="13" s="1"/>
  <c r="K42" i="13" s="1"/>
  <c r="B43" i="13"/>
  <c r="F43" i="13"/>
  <c r="G43" i="13"/>
  <c r="H43" i="13" s="1"/>
  <c r="I43" i="13" s="1"/>
  <c r="J43" i="13" s="1"/>
  <c r="K43" i="13" s="1"/>
  <c r="B44" i="13"/>
  <c r="F44" i="13"/>
  <c r="G44" i="13"/>
  <c r="H44" i="13" s="1"/>
  <c r="I44" i="13" s="1"/>
  <c r="J44" i="13" s="1"/>
  <c r="K44" i="13" s="1"/>
  <c r="B45" i="13"/>
  <c r="F45" i="13"/>
  <c r="G45" i="13"/>
  <c r="H45" i="13" s="1"/>
  <c r="I45" i="13" s="1"/>
  <c r="J45" i="13" s="1"/>
  <c r="K45" i="13" s="1"/>
  <c r="B46" i="13"/>
  <c r="F46" i="13"/>
  <c r="G46" i="13"/>
  <c r="H46" i="13" s="1"/>
  <c r="I46" i="13" s="1"/>
  <c r="J46" i="13" s="1"/>
  <c r="K46" i="13" s="1"/>
  <c r="B47" i="13"/>
  <c r="F47" i="13"/>
  <c r="G47" i="13"/>
  <c r="H47" i="13" s="1"/>
  <c r="I47" i="13" s="1"/>
  <c r="J47" i="13" s="1"/>
  <c r="K47" i="13" s="1"/>
  <c r="B48" i="13"/>
  <c r="F48" i="13"/>
  <c r="G48" i="13"/>
  <c r="H48" i="13" s="1"/>
  <c r="I48" i="13" s="1"/>
  <c r="J48" i="13" s="1"/>
  <c r="K48" i="13" s="1"/>
  <c r="B49" i="13"/>
  <c r="F49" i="13"/>
  <c r="G49" i="13"/>
  <c r="H49" i="13" s="1"/>
  <c r="I49" i="13" s="1"/>
  <c r="J49" i="13" s="1"/>
  <c r="K49" i="13" s="1"/>
  <c r="B50" i="13"/>
  <c r="F50" i="13"/>
  <c r="G50" i="13"/>
  <c r="H50" i="13" s="1"/>
  <c r="I50" i="13" s="1"/>
  <c r="J50" i="13" s="1"/>
  <c r="K50" i="13" s="1"/>
  <c r="B51" i="13"/>
  <c r="F51" i="13"/>
  <c r="G51" i="13"/>
  <c r="H51" i="13" s="1"/>
  <c r="I51" i="13" s="1"/>
  <c r="J51" i="13" s="1"/>
  <c r="K51" i="13" s="1"/>
  <c r="B52" i="13"/>
  <c r="F52" i="13"/>
  <c r="G52" i="13"/>
  <c r="H52" i="13" s="1"/>
  <c r="I52" i="13" s="1"/>
  <c r="J52" i="13" s="1"/>
  <c r="K52" i="13" s="1"/>
  <c r="B53" i="13"/>
  <c r="F53" i="13"/>
  <c r="G53" i="13"/>
  <c r="H53" i="13" s="1"/>
  <c r="I53" i="13" s="1"/>
  <c r="J53" i="13" s="1"/>
  <c r="K53" i="13" s="1"/>
  <c r="B54" i="13"/>
  <c r="F54" i="13"/>
  <c r="G54" i="13"/>
  <c r="H54" i="13" s="1"/>
  <c r="I54" i="13" s="1"/>
  <c r="J54" i="13" s="1"/>
  <c r="K54" i="13" s="1"/>
  <c r="B55" i="13"/>
  <c r="F55" i="13"/>
  <c r="G55" i="13"/>
  <c r="H55" i="13" s="1"/>
  <c r="I55" i="13" s="1"/>
  <c r="J55" i="13" s="1"/>
  <c r="K55" i="13" s="1"/>
  <c r="B56" i="13"/>
  <c r="F56" i="13"/>
  <c r="G56" i="13"/>
  <c r="H56" i="13" s="1"/>
  <c r="I56" i="13" s="1"/>
  <c r="J56" i="13" s="1"/>
  <c r="K56" i="13" s="1"/>
  <c r="B57" i="13"/>
  <c r="F57" i="13"/>
  <c r="G57" i="13"/>
  <c r="H57" i="13" s="1"/>
  <c r="I57" i="13" s="1"/>
  <c r="J57" i="13" s="1"/>
  <c r="K57" i="13" s="1"/>
  <c r="B58" i="13"/>
  <c r="F58" i="13"/>
  <c r="G58" i="13"/>
  <c r="H58" i="13" s="1"/>
  <c r="I58" i="13" s="1"/>
  <c r="J58" i="13" s="1"/>
  <c r="K58" i="13" s="1"/>
  <c r="B59" i="13"/>
  <c r="F59" i="13"/>
  <c r="G59" i="13"/>
  <c r="H59" i="13" s="1"/>
  <c r="I59" i="13" s="1"/>
  <c r="J59" i="13" s="1"/>
  <c r="K59" i="13" s="1"/>
  <c r="B60" i="13"/>
  <c r="F60" i="13"/>
  <c r="G60" i="13"/>
  <c r="H60" i="13" s="1"/>
  <c r="I60" i="13" s="1"/>
  <c r="J60" i="13" s="1"/>
  <c r="K60" i="13" s="1"/>
  <c r="B61" i="13"/>
  <c r="F61" i="13"/>
  <c r="G61" i="13"/>
  <c r="H61" i="13" s="1"/>
  <c r="I61" i="13" s="1"/>
  <c r="J61" i="13" s="1"/>
  <c r="K61" i="13" s="1"/>
  <c r="B62" i="13"/>
  <c r="F62" i="13"/>
  <c r="G62" i="13"/>
  <c r="H62" i="13" s="1"/>
  <c r="I62" i="13" s="1"/>
  <c r="J62" i="13" s="1"/>
  <c r="K62" i="13" s="1"/>
  <c r="B63" i="13"/>
  <c r="F63" i="13"/>
  <c r="G63" i="13"/>
  <c r="H63" i="13" s="1"/>
  <c r="I63" i="13" s="1"/>
  <c r="J63" i="13" s="1"/>
  <c r="K63" i="13" s="1"/>
  <c r="B64" i="13"/>
  <c r="F64" i="13"/>
  <c r="G64" i="13"/>
  <c r="H64" i="13" s="1"/>
  <c r="I64" i="13" s="1"/>
  <c r="J64" i="13" s="1"/>
  <c r="K64" i="13" s="1"/>
  <c r="B65" i="13"/>
  <c r="F65" i="13"/>
  <c r="G65" i="13"/>
  <c r="H65" i="13" s="1"/>
  <c r="I65" i="13" s="1"/>
  <c r="J65" i="13" s="1"/>
  <c r="K65" i="13" s="1"/>
  <c r="B66" i="13"/>
  <c r="F66" i="13"/>
  <c r="G66" i="13"/>
  <c r="H66" i="13" s="1"/>
  <c r="I66" i="13" s="1"/>
  <c r="J66" i="13" s="1"/>
  <c r="K66" i="13" s="1"/>
  <c r="B67" i="13"/>
  <c r="F67" i="13"/>
  <c r="G67" i="13"/>
  <c r="H67" i="13" s="1"/>
  <c r="I67" i="13" s="1"/>
  <c r="J67" i="13" s="1"/>
  <c r="K67" i="13" s="1"/>
  <c r="B68" i="13"/>
  <c r="F68" i="13"/>
  <c r="G68" i="13"/>
  <c r="H68" i="13" s="1"/>
  <c r="I68" i="13" s="1"/>
  <c r="J68" i="13" s="1"/>
  <c r="K68" i="13" s="1"/>
  <c r="B69" i="13"/>
  <c r="F69" i="13"/>
  <c r="G69" i="13"/>
  <c r="H69" i="13" s="1"/>
  <c r="I69" i="13" s="1"/>
  <c r="J69" i="13" s="1"/>
  <c r="K69" i="13" s="1"/>
  <c r="B70" i="13"/>
  <c r="F70" i="13"/>
  <c r="G70" i="13"/>
  <c r="H70" i="13" s="1"/>
  <c r="I70" i="13" s="1"/>
  <c r="J70" i="13" s="1"/>
  <c r="K70" i="13" s="1"/>
  <c r="B71" i="13"/>
  <c r="F71" i="13"/>
  <c r="G71" i="13"/>
  <c r="H71" i="13" s="1"/>
  <c r="I71" i="13" s="1"/>
  <c r="J71" i="13" s="1"/>
  <c r="K71" i="13" s="1"/>
  <c r="B72" i="13"/>
  <c r="F72" i="13"/>
  <c r="G72" i="13"/>
  <c r="H72" i="13" s="1"/>
  <c r="I72" i="13" s="1"/>
  <c r="J72" i="13" s="1"/>
  <c r="K72" i="13" s="1"/>
  <c r="B73" i="13"/>
  <c r="F73" i="13"/>
  <c r="G73" i="13"/>
  <c r="H73" i="13" s="1"/>
  <c r="I73" i="13" s="1"/>
  <c r="J73" i="13" s="1"/>
  <c r="K73" i="13" s="1"/>
  <c r="B74" i="13"/>
  <c r="F74" i="13"/>
  <c r="G74" i="13"/>
  <c r="H74" i="13" s="1"/>
  <c r="I74" i="13" s="1"/>
  <c r="J74" i="13" s="1"/>
  <c r="K74" i="13" s="1"/>
  <c r="B75" i="13"/>
  <c r="F75" i="13"/>
  <c r="G75" i="13"/>
  <c r="H75" i="13" s="1"/>
  <c r="I75" i="13" s="1"/>
  <c r="J75" i="13" s="1"/>
  <c r="K75" i="13" s="1"/>
  <c r="B76" i="13"/>
  <c r="F76" i="13"/>
  <c r="G76" i="13"/>
  <c r="H76" i="13" s="1"/>
  <c r="I76" i="13" s="1"/>
  <c r="J76" i="13" s="1"/>
  <c r="K76" i="13" s="1"/>
  <c r="B77" i="13"/>
  <c r="F77" i="13"/>
  <c r="G77" i="13"/>
  <c r="H77" i="13" s="1"/>
  <c r="I77" i="13" s="1"/>
  <c r="J77" i="13" s="1"/>
  <c r="K77" i="13" s="1"/>
  <c r="B78" i="13"/>
  <c r="F78" i="13"/>
  <c r="G78" i="13"/>
  <c r="H78" i="13" s="1"/>
  <c r="I78" i="13" s="1"/>
  <c r="J78" i="13" s="1"/>
  <c r="K78" i="13" s="1"/>
  <c r="B79" i="13"/>
  <c r="F79" i="13"/>
  <c r="G79" i="13"/>
  <c r="H79" i="13" s="1"/>
  <c r="I79" i="13" s="1"/>
  <c r="J79" i="13" s="1"/>
  <c r="K79" i="13" s="1"/>
  <c r="B80" i="13"/>
  <c r="F80" i="13"/>
  <c r="G80" i="13"/>
  <c r="H80" i="13" s="1"/>
  <c r="I80" i="13" s="1"/>
  <c r="J80" i="13" s="1"/>
  <c r="K80" i="13" s="1"/>
  <c r="B81" i="13"/>
  <c r="F81" i="13"/>
  <c r="G81" i="13"/>
  <c r="H81" i="13" s="1"/>
  <c r="I81" i="13" s="1"/>
  <c r="J81" i="13" s="1"/>
  <c r="K81" i="13" s="1"/>
  <c r="B82" i="13"/>
  <c r="F82" i="13"/>
  <c r="G82" i="13"/>
  <c r="H82" i="13" s="1"/>
  <c r="I82" i="13" s="1"/>
  <c r="J82" i="13" s="1"/>
  <c r="K82" i="13" s="1"/>
  <c r="B83" i="13"/>
  <c r="F83" i="13"/>
  <c r="G83" i="13"/>
  <c r="H83" i="13" s="1"/>
  <c r="I83" i="13" s="1"/>
  <c r="J83" i="13" s="1"/>
  <c r="K83" i="13" s="1"/>
  <c r="B84" i="13"/>
  <c r="F84" i="13"/>
  <c r="G84" i="13"/>
  <c r="H84" i="13" s="1"/>
  <c r="I84" i="13" s="1"/>
  <c r="J84" i="13" s="1"/>
  <c r="K84" i="13" s="1"/>
  <c r="B85" i="13"/>
  <c r="F85" i="13"/>
  <c r="G85" i="13"/>
  <c r="H85" i="13" s="1"/>
  <c r="I85" i="13" s="1"/>
  <c r="J85" i="13" s="1"/>
  <c r="K85" i="13" s="1"/>
  <c r="B86" i="13"/>
  <c r="F86" i="13"/>
  <c r="G86" i="13"/>
  <c r="H86" i="13" s="1"/>
  <c r="I86" i="13" s="1"/>
  <c r="J86" i="13" s="1"/>
  <c r="K86" i="13" s="1"/>
  <c r="B87" i="13"/>
  <c r="F87" i="13"/>
  <c r="G87" i="13"/>
  <c r="H87" i="13" s="1"/>
  <c r="I87" i="13" s="1"/>
  <c r="J87" i="13" s="1"/>
  <c r="K87" i="13" s="1"/>
  <c r="B88" i="13"/>
  <c r="F88" i="13"/>
  <c r="G88" i="13"/>
  <c r="H88" i="13" s="1"/>
  <c r="I88" i="13" s="1"/>
  <c r="J88" i="13" s="1"/>
  <c r="K88" i="13" s="1"/>
  <c r="B89" i="13"/>
  <c r="F89" i="13"/>
  <c r="G89" i="13"/>
  <c r="H89" i="13" s="1"/>
  <c r="I89" i="13" s="1"/>
  <c r="J89" i="13" s="1"/>
  <c r="K89" i="13" s="1"/>
  <c r="B90" i="13"/>
  <c r="F90" i="13"/>
  <c r="G90" i="13"/>
  <c r="H90" i="13" s="1"/>
  <c r="I90" i="13" s="1"/>
  <c r="J90" i="13" s="1"/>
  <c r="K90" i="13" s="1"/>
  <c r="B91" i="13"/>
  <c r="F91" i="13"/>
  <c r="G91" i="13"/>
  <c r="H91" i="13" s="1"/>
  <c r="I91" i="13" s="1"/>
  <c r="J91" i="13" s="1"/>
  <c r="K91" i="13" s="1"/>
  <c r="B92" i="13"/>
  <c r="F92" i="13"/>
  <c r="G92" i="13"/>
  <c r="H92" i="13" s="1"/>
  <c r="I92" i="13" s="1"/>
  <c r="J92" i="13" s="1"/>
  <c r="K92" i="13" s="1"/>
  <c r="B93" i="13"/>
  <c r="F93" i="13"/>
  <c r="G93" i="13"/>
  <c r="H93" i="13" s="1"/>
  <c r="I93" i="13" s="1"/>
  <c r="J93" i="13" s="1"/>
  <c r="K93" i="13" s="1"/>
  <c r="B94" i="13"/>
  <c r="F94" i="13"/>
  <c r="G94" i="13"/>
  <c r="H94" i="13" s="1"/>
  <c r="I94" i="13" s="1"/>
  <c r="J94" i="13" s="1"/>
  <c r="K94" i="13" s="1"/>
  <c r="B95" i="13"/>
  <c r="F95" i="13"/>
  <c r="G95" i="13"/>
  <c r="H95" i="13" s="1"/>
  <c r="I95" i="13" s="1"/>
  <c r="J95" i="13" s="1"/>
  <c r="K95" i="13" s="1"/>
  <c r="B96" i="13"/>
  <c r="F96" i="13"/>
  <c r="G96" i="13"/>
  <c r="H96" i="13" s="1"/>
  <c r="I96" i="13" s="1"/>
  <c r="J96" i="13" s="1"/>
  <c r="K96" i="13" s="1"/>
  <c r="B97" i="13"/>
  <c r="F97" i="13"/>
  <c r="G97" i="13"/>
  <c r="H97" i="13" s="1"/>
  <c r="I97" i="13" s="1"/>
  <c r="J97" i="13" s="1"/>
  <c r="K97" i="13" s="1"/>
  <c r="B98" i="13"/>
  <c r="F98" i="13"/>
  <c r="G98" i="13"/>
  <c r="H98" i="13" s="1"/>
  <c r="I98" i="13" s="1"/>
  <c r="J98" i="13" s="1"/>
  <c r="K98" i="13" s="1"/>
  <c r="B99" i="13"/>
  <c r="F99" i="13"/>
  <c r="G99" i="13"/>
  <c r="H99" i="13" s="1"/>
  <c r="I99" i="13" s="1"/>
  <c r="J99" i="13" s="1"/>
  <c r="K99" i="13" s="1"/>
  <c r="B100" i="13"/>
  <c r="F100" i="13"/>
  <c r="G100" i="13"/>
  <c r="H100" i="13" s="1"/>
  <c r="I100" i="13" s="1"/>
  <c r="J100" i="13" s="1"/>
  <c r="K100" i="13" s="1"/>
  <c r="B101" i="13"/>
  <c r="F101" i="13"/>
  <c r="G101" i="13"/>
  <c r="H101" i="13" s="1"/>
  <c r="I101" i="13" s="1"/>
  <c r="J101" i="13" s="1"/>
  <c r="K101" i="13" s="1"/>
  <c r="B102" i="13"/>
  <c r="F102" i="13"/>
  <c r="G102" i="13"/>
  <c r="H102" i="13" s="1"/>
  <c r="I102" i="13" s="1"/>
  <c r="J102" i="13" s="1"/>
  <c r="K102" i="13" s="1"/>
  <c r="B103" i="13"/>
  <c r="F103" i="13"/>
  <c r="G103" i="13"/>
  <c r="H103" i="13" s="1"/>
  <c r="I103" i="13" s="1"/>
  <c r="J103" i="13" s="1"/>
  <c r="K103" i="13" s="1"/>
  <c r="B104" i="13"/>
  <c r="F104" i="13"/>
  <c r="G104" i="13"/>
  <c r="H104" i="13" s="1"/>
  <c r="I104" i="13" s="1"/>
  <c r="J104" i="13" s="1"/>
  <c r="K104" i="13" s="1"/>
  <c r="B105" i="13"/>
  <c r="F105" i="13"/>
  <c r="G105" i="13"/>
  <c r="H105" i="13" s="1"/>
  <c r="I105" i="13" s="1"/>
  <c r="J105" i="13" s="1"/>
  <c r="K105" i="13" s="1"/>
  <c r="B106" i="13"/>
  <c r="F106" i="13"/>
  <c r="G106" i="13"/>
  <c r="H106" i="13" s="1"/>
  <c r="I106" i="13" s="1"/>
  <c r="J106" i="13" s="1"/>
  <c r="K106" i="13" s="1"/>
  <c r="B107" i="13"/>
  <c r="F107" i="13"/>
  <c r="G107" i="13"/>
  <c r="H107" i="13" s="1"/>
  <c r="I107" i="13" s="1"/>
  <c r="J107" i="13" s="1"/>
  <c r="K107" i="13" s="1"/>
  <c r="B108" i="13"/>
  <c r="F108" i="13"/>
  <c r="G108" i="13"/>
  <c r="H108" i="13" s="1"/>
  <c r="I108" i="13" s="1"/>
  <c r="J108" i="13" s="1"/>
  <c r="K108" i="13" s="1"/>
  <c r="B109" i="13"/>
  <c r="F109" i="13"/>
  <c r="G109" i="13"/>
  <c r="H109" i="13" s="1"/>
  <c r="I109" i="13" s="1"/>
  <c r="J109" i="13" s="1"/>
  <c r="K109" i="13" s="1"/>
  <c r="B110" i="13"/>
  <c r="F110" i="13"/>
  <c r="G110" i="13"/>
  <c r="H110" i="13" s="1"/>
  <c r="I110" i="13" s="1"/>
  <c r="J110" i="13" s="1"/>
  <c r="K110" i="13" s="1"/>
  <c r="B111" i="13"/>
  <c r="F111" i="13"/>
  <c r="G111" i="13"/>
  <c r="H111" i="13" s="1"/>
  <c r="I111" i="13" s="1"/>
  <c r="J111" i="13" s="1"/>
  <c r="K111" i="13" s="1"/>
  <c r="B112" i="13"/>
  <c r="F112" i="13"/>
  <c r="G112" i="13"/>
  <c r="H112" i="13" s="1"/>
  <c r="I112" i="13" s="1"/>
  <c r="J112" i="13" s="1"/>
  <c r="K112" i="13" s="1"/>
  <c r="B113" i="13"/>
  <c r="F113" i="13"/>
  <c r="G113" i="13"/>
  <c r="H113" i="13" s="1"/>
  <c r="I113" i="13" s="1"/>
  <c r="J113" i="13" s="1"/>
  <c r="K113" i="13" s="1"/>
  <c r="B114" i="13"/>
  <c r="F114" i="13"/>
  <c r="G114" i="13"/>
  <c r="H114" i="13" s="1"/>
  <c r="I114" i="13" s="1"/>
  <c r="J114" i="13" s="1"/>
  <c r="K114" i="13" s="1"/>
  <c r="B115" i="13"/>
  <c r="F115" i="13"/>
  <c r="G115" i="13"/>
  <c r="H115" i="13" s="1"/>
  <c r="I115" i="13" s="1"/>
  <c r="J115" i="13" s="1"/>
  <c r="K115" i="13" s="1"/>
  <c r="B116" i="13"/>
  <c r="F116" i="13"/>
  <c r="G116" i="13"/>
  <c r="H116" i="13" s="1"/>
  <c r="I116" i="13" s="1"/>
  <c r="J116" i="13" s="1"/>
  <c r="K116" i="13" s="1"/>
  <c r="B117" i="13"/>
  <c r="F117" i="13"/>
  <c r="G117" i="13"/>
  <c r="H117" i="13" s="1"/>
  <c r="I117" i="13" s="1"/>
  <c r="J117" i="13" s="1"/>
  <c r="K117" i="13" s="1"/>
  <c r="B118" i="13"/>
  <c r="F118" i="13"/>
  <c r="G118" i="13"/>
  <c r="H118" i="13" s="1"/>
  <c r="I118" i="13" s="1"/>
  <c r="J118" i="13" s="1"/>
  <c r="K118" i="13" s="1"/>
  <c r="B119" i="13"/>
  <c r="F119" i="13"/>
  <c r="G119" i="13"/>
  <c r="H119" i="13" s="1"/>
  <c r="I119" i="13" s="1"/>
  <c r="J119" i="13" s="1"/>
  <c r="K119" i="13" s="1"/>
  <c r="B120" i="13"/>
  <c r="F120" i="13"/>
  <c r="G120" i="13"/>
  <c r="H120" i="13" s="1"/>
  <c r="I120" i="13" s="1"/>
  <c r="J120" i="13" s="1"/>
  <c r="K120" i="13" s="1"/>
  <c r="B121" i="13"/>
  <c r="F121" i="13"/>
  <c r="G121" i="13"/>
  <c r="H121" i="13" s="1"/>
  <c r="I121" i="13" s="1"/>
  <c r="J121" i="13" s="1"/>
  <c r="K121" i="13" s="1"/>
  <c r="B122" i="13"/>
  <c r="F122" i="13"/>
  <c r="G122" i="13"/>
  <c r="H122" i="13" s="1"/>
  <c r="I122" i="13" s="1"/>
  <c r="J122" i="13" s="1"/>
  <c r="K122" i="13" s="1"/>
  <c r="B123" i="13"/>
  <c r="F123" i="13"/>
  <c r="G123" i="13"/>
  <c r="H123" i="13" s="1"/>
  <c r="I123" i="13" s="1"/>
  <c r="J123" i="13" s="1"/>
  <c r="K123" i="13" s="1"/>
  <c r="B124" i="13"/>
  <c r="F124" i="13"/>
  <c r="G124" i="13"/>
  <c r="H124" i="13" s="1"/>
  <c r="I124" i="13" s="1"/>
  <c r="J124" i="13" s="1"/>
  <c r="K124" i="13" s="1"/>
  <c r="B125" i="13"/>
  <c r="F125" i="13"/>
  <c r="G125" i="13"/>
  <c r="H125" i="13" s="1"/>
  <c r="I125" i="13" s="1"/>
  <c r="J125" i="13" s="1"/>
  <c r="K125" i="13" s="1"/>
  <c r="B126" i="13"/>
  <c r="F126" i="13"/>
  <c r="G126" i="13"/>
  <c r="H126" i="13" s="1"/>
  <c r="I126" i="13" s="1"/>
  <c r="J126" i="13" s="1"/>
  <c r="K126" i="13" s="1"/>
  <c r="B127" i="13"/>
  <c r="F127" i="13"/>
  <c r="G127" i="13"/>
  <c r="H127" i="13" s="1"/>
  <c r="I127" i="13" s="1"/>
  <c r="J127" i="13" s="1"/>
  <c r="K127" i="13" s="1"/>
  <c r="B128" i="13"/>
  <c r="F128" i="13"/>
  <c r="G128" i="13"/>
  <c r="H128" i="13" s="1"/>
  <c r="I128" i="13" s="1"/>
  <c r="J128" i="13" s="1"/>
  <c r="K128" i="13" s="1"/>
  <c r="B129" i="13"/>
  <c r="F129" i="13"/>
  <c r="G129" i="13"/>
  <c r="H129" i="13" s="1"/>
  <c r="I129" i="13" s="1"/>
  <c r="J129" i="13" s="1"/>
  <c r="K129" i="13" s="1"/>
  <c r="B130" i="13"/>
  <c r="F130" i="13"/>
  <c r="G130" i="13"/>
  <c r="H130" i="13" s="1"/>
  <c r="I130" i="13" s="1"/>
  <c r="J130" i="13" s="1"/>
  <c r="K130" i="13" s="1"/>
  <c r="B131" i="13"/>
  <c r="F131" i="13"/>
  <c r="G131" i="13"/>
  <c r="H131" i="13" s="1"/>
  <c r="I131" i="13" s="1"/>
  <c r="J131" i="13" s="1"/>
  <c r="K131" i="13" s="1"/>
  <c r="B132" i="13"/>
  <c r="F132" i="13"/>
  <c r="G132" i="13"/>
  <c r="H132" i="13" s="1"/>
  <c r="I132" i="13" s="1"/>
  <c r="J132" i="13" s="1"/>
  <c r="K132" i="13" s="1"/>
  <c r="B133" i="13"/>
  <c r="F133" i="13"/>
  <c r="G133" i="13"/>
  <c r="H133" i="13" s="1"/>
  <c r="I133" i="13" s="1"/>
  <c r="J133" i="13" s="1"/>
  <c r="K133" i="13" s="1"/>
  <c r="B134" i="13"/>
  <c r="F134" i="13"/>
  <c r="G134" i="13"/>
  <c r="H134" i="13" s="1"/>
  <c r="I134" i="13" s="1"/>
  <c r="J134" i="13" s="1"/>
  <c r="K134" i="13" s="1"/>
  <c r="B135" i="13"/>
  <c r="F135" i="13"/>
  <c r="G135" i="13"/>
  <c r="H135" i="13" s="1"/>
  <c r="I135" i="13" s="1"/>
  <c r="J135" i="13" s="1"/>
  <c r="K135" i="13" s="1"/>
  <c r="B136" i="13"/>
  <c r="F136" i="13"/>
  <c r="G136" i="13"/>
  <c r="H136" i="13" s="1"/>
  <c r="I136" i="13" s="1"/>
  <c r="J136" i="13" s="1"/>
  <c r="K136" i="13" s="1"/>
  <c r="B137" i="13"/>
  <c r="F137" i="13"/>
  <c r="G137" i="13"/>
  <c r="H137" i="13" s="1"/>
  <c r="I137" i="13" s="1"/>
  <c r="J137" i="13" s="1"/>
  <c r="K137" i="13" s="1"/>
  <c r="B138" i="13"/>
  <c r="F138" i="13"/>
  <c r="G138" i="13"/>
  <c r="H138" i="13" s="1"/>
  <c r="I138" i="13" s="1"/>
  <c r="J138" i="13" s="1"/>
  <c r="K138" i="13" s="1"/>
  <c r="B139" i="13"/>
  <c r="F139" i="13"/>
  <c r="G139" i="13"/>
  <c r="H139" i="13" s="1"/>
  <c r="I139" i="13" s="1"/>
  <c r="J139" i="13" s="1"/>
  <c r="K139" i="13" s="1"/>
  <c r="B140" i="13"/>
  <c r="F140" i="13"/>
  <c r="G140" i="13"/>
  <c r="H140" i="13" s="1"/>
  <c r="I140" i="13" s="1"/>
  <c r="J140" i="13" s="1"/>
  <c r="K140" i="13" s="1"/>
  <c r="B141" i="13"/>
  <c r="F141" i="13"/>
  <c r="G141" i="13"/>
  <c r="H141" i="13" s="1"/>
  <c r="I141" i="13" s="1"/>
  <c r="J141" i="13" s="1"/>
  <c r="K141" i="13" s="1"/>
  <c r="B142" i="13"/>
  <c r="F142" i="13"/>
  <c r="G142" i="13"/>
  <c r="H142" i="13" s="1"/>
  <c r="I142" i="13" s="1"/>
  <c r="J142" i="13" s="1"/>
  <c r="K142" i="13" s="1"/>
  <c r="B143" i="13"/>
  <c r="F143" i="13"/>
  <c r="G143" i="13"/>
  <c r="H143" i="13" s="1"/>
  <c r="I143" i="13" s="1"/>
  <c r="J143" i="13" s="1"/>
  <c r="K143" i="13" s="1"/>
  <c r="B144" i="13"/>
  <c r="F144" i="13"/>
  <c r="G144" i="13"/>
  <c r="H144" i="13" s="1"/>
  <c r="I144" i="13" s="1"/>
  <c r="J144" i="13" s="1"/>
  <c r="K144" i="13" s="1"/>
  <c r="B145" i="13"/>
  <c r="F145" i="13"/>
  <c r="G145" i="13"/>
  <c r="H145" i="13" s="1"/>
  <c r="I145" i="13" s="1"/>
  <c r="J145" i="13" s="1"/>
  <c r="K145" i="13" s="1"/>
  <c r="B146" i="13"/>
  <c r="F146" i="13"/>
  <c r="G146" i="13"/>
  <c r="H146" i="13" s="1"/>
  <c r="I146" i="13" s="1"/>
  <c r="J146" i="13" s="1"/>
  <c r="K146" i="13" s="1"/>
  <c r="B147" i="13"/>
  <c r="F147" i="13"/>
  <c r="G147" i="13"/>
  <c r="H147" i="13" s="1"/>
  <c r="I147" i="13" s="1"/>
  <c r="J147" i="13" s="1"/>
  <c r="K147" i="13" s="1"/>
  <c r="B148" i="13"/>
  <c r="F148" i="13"/>
  <c r="G148" i="13"/>
  <c r="H148" i="13" s="1"/>
  <c r="I148" i="13" s="1"/>
  <c r="J148" i="13" s="1"/>
  <c r="K148" i="13" s="1"/>
  <c r="B149" i="13"/>
  <c r="F149" i="13"/>
  <c r="G149" i="13"/>
  <c r="H149" i="13" s="1"/>
  <c r="I149" i="13" s="1"/>
  <c r="J149" i="13" s="1"/>
  <c r="K149" i="13" s="1"/>
  <c r="B150" i="13"/>
  <c r="F150" i="13"/>
  <c r="G150" i="13"/>
  <c r="H150" i="13" s="1"/>
  <c r="I150" i="13" s="1"/>
  <c r="J150" i="13" s="1"/>
  <c r="K150" i="13" s="1"/>
  <c r="B151" i="13"/>
  <c r="F151" i="13"/>
  <c r="G151" i="13"/>
  <c r="H151" i="13" s="1"/>
  <c r="I151" i="13" s="1"/>
  <c r="J151" i="13" s="1"/>
  <c r="K151" i="13" s="1"/>
  <c r="B152" i="13"/>
  <c r="F152" i="13"/>
  <c r="G152" i="13"/>
  <c r="H152" i="13" s="1"/>
  <c r="I152" i="13" s="1"/>
  <c r="J152" i="13" s="1"/>
  <c r="K152" i="13" s="1"/>
  <c r="B153" i="13"/>
  <c r="F153" i="13"/>
  <c r="G153" i="13"/>
  <c r="H153" i="13" s="1"/>
  <c r="I153" i="13" s="1"/>
  <c r="J153" i="13" s="1"/>
  <c r="K153" i="13" s="1"/>
  <c r="B154" i="13"/>
  <c r="F154" i="13"/>
  <c r="G154" i="13"/>
  <c r="H154" i="13" s="1"/>
  <c r="I154" i="13" s="1"/>
  <c r="J154" i="13" s="1"/>
  <c r="K154" i="13" s="1"/>
  <c r="B155" i="13"/>
  <c r="F155" i="13"/>
  <c r="G155" i="13"/>
  <c r="H155" i="13" s="1"/>
  <c r="I155" i="13" s="1"/>
  <c r="J155" i="13" s="1"/>
  <c r="K155" i="13" s="1"/>
  <c r="B156" i="13"/>
  <c r="F156" i="13"/>
  <c r="G156" i="13"/>
  <c r="H156" i="13" s="1"/>
  <c r="I156" i="13" s="1"/>
  <c r="J156" i="13" s="1"/>
  <c r="K156" i="13" s="1"/>
  <c r="B157" i="13"/>
  <c r="F157" i="13"/>
  <c r="G157" i="13"/>
  <c r="H157" i="13" s="1"/>
  <c r="I157" i="13" s="1"/>
  <c r="J157" i="13" s="1"/>
  <c r="K157" i="13" s="1"/>
  <c r="B158" i="13"/>
  <c r="F158" i="13"/>
  <c r="G158" i="13"/>
  <c r="H158" i="13" s="1"/>
  <c r="I158" i="13" s="1"/>
  <c r="J158" i="13" s="1"/>
  <c r="K158" i="13" s="1"/>
  <c r="B159" i="13"/>
  <c r="F159" i="13"/>
  <c r="G159" i="13"/>
  <c r="H159" i="13" s="1"/>
  <c r="I159" i="13" s="1"/>
  <c r="J159" i="13" s="1"/>
  <c r="K159" i="13" s="1"/>
  <c r="B160" i="13"/>
  <c r="F160" i="13"/>
  <c r="G160" i="13"/>
  <c r="H160" i="13" s="1"/>
  <c r="I160" i="13" s="1"/>
  <c r="J160" i="13" s="1"/>
  <c r="K160" i="13" s="1"/>
  <c r="B161" i="13"/>
  <c r="F161" i="13"/>
  <c r="G161" i="13"/>
  <c r="H161" i="13" s="1"/>
  <c r="I161" i="13" s="1"/>
  <c r="J161" i="13" s="1"/>
  <c r="K161" i="13" s="1"/>
  <c r="B162" i="13"/>
  <c r="F162" i="13"/>
  <c r="G162" i="13"/>
  <c r="H162" i="13" s="1"/>
  <c r="I162" i="13" s="1"/>
  <c r="J162" i="13" s="1"/>
  <c r="K162" i="13" s="1"/>
  <c r="B163" i="13"/>
  <c r="F163" i="13"/>
  <c r="G163" i="13"/>
  <c r="H163" i="13" s="1"/>
  <c r="I163" i="13" s="1"/>
  <c r="J163" i="13" s="1"/>
  <c r="K163" i="13" s="1"/>
  <c r="B164" i="13"/>
  <c r="F164" i="13"/>
  <c r="G164" i="13"/>
  <c r="H164" i="13" s="1"/>
  <c r="I164" i="13" s="1"/>
  <c r="J164" i="13" s="1"/>
  <c r="K164" i="13" s="1"/>
  <c r="B165" i="13"/>
  <c r="F165" i="13"/>
  <c r="G165" i="13"/>
  <c r="H165" i="13" s="1"/>
  <c r="I165" i="13" s="1"/>
  <c r="J165" i="13" s="1"/>
  <c r="K165" i="13" s="1"/>
  <c r="B166" i="13"/>
  <c r="F166" i="13"/>
  <c r="G166" i="13"/>
  <c r="H166" i="13" s="1"/>
  <c r="I166" i="13" s="1"/>
  <c r="J166" i="13" s="1"/>
  <c r="K166" i="13" s="1"/>
  <c r="B167" i="13"/>
  <c r="F167" i="13"/>
  <c r="G167" i="13"/>
  <c r="H167" i="13" s="1"/>
  <c r="I167" i="13" s="1"/>
  <c r="J167" i="13" s="1"/>
  <c r="K167" i="13" s="1"/>
  <c r="B168" i="13"/>
  <c r="F168" i="13"/>
  <c r="G168" i="13"/>
  <c r="H168" i="13" s="1"/>
  <c r="I168" i="13" s="1"/>
  <c r="J168" i="13" s="1"/>
  <c r="K168" i="13" s="1"/>
  <c r="B169" i="13"/>
  <c r="F169" i="13"/>
  <c r="G169" i="13"/>
  <c r="H169" i="13" s="1"/>
  <c r="I169" i="13" s="1"/>
  <c r="J169" i="13" s="1"/>
  <c r="K169" i="13" s="1"/>
  <c r="B170" i="13"/>
  <c r="F170" i="13"/>
  <c r="G170" i="13"/>
  <c r="H170" i="13" s="1"/>
  <c r="I170" i="13" s="1"/>
  <c r="J170" i="13" s="1"/>
  <c r="K170" i="13" s="1"/>
  <c r="B171" i="13"/>
  <c r="F171" i="13"/>
  <c r="G171" i="13"/>
  <c r="H171" i="13" s="1"/>
  <c r="I171" i="13" s="1"/>
  <c r="J171" i="13" s="1"/>
  <c r="K171" i="13" s="1"/>
  <c r="B172" i="13"/>
  <c r="F172" i="13"/>
  <c r="G172" i="13"/>
  <c r="H172" i="13" s="1"/>
  <c r="I172" i="13" s="1"/>
  <c r="J172" i="13" s="1"/>
  <c r="K172" i="13" s="1"/>
  <c r="B173" i="13"/>
  <c r="F173" i="13"/>
  <c r="G173" i="13"/>
  <c r="H173" i="13" s="1"/>
  <c r="I173" i="13" s="1"/>
  <c r="J173" i="13" s="1"/>
  <c r="K173" i="13" s="1"/>
  <c r="B174" i="13"/>
  <c r="F174" i="13"/>
  <c r="G174" i="13"/>
  <c r="H174" i="13" s="1"/>
  <c r="I174" i="13" s="1"/>
  <c r="J174" i="13" s="1"/>
  <c r="K174" i="13" s="1"/>
  <c r="B175" i="13"/>
  <c r="F175" i="13"/>
  <c r="G175" i="13"/>
  <c r="H175" i="13" s="1"/>
  <c r="I175" i="13" s="1"/>
  <c r="J175" i="13" s="1"/>
  <c r="K175" i="13" s="1"/>
  <c r="B176" i="13"/>
  <c r="F176" i="13"/>
  <c r="G176" i="13"/>
  <c r="H176" i="13" s="1"/>
  <c r="I176" i="13" s="1"/>
  <c r="J176" i="13" s="1"/>
  <c r="K176" i="13" s="1"/>
  <c r="B177" i="13"/>
  <c r="F177" i="13"/>
  <c r="G177" i="13"/>
  <c r="H177" i="13" s="1"/>
  <c r="I177" i="13" s="1"/>
  <c r="J177" i="13" s="1"/>
  <c r="K177" i="13" s="1"/>
  <c r="B178" i="13"/>
  <c r="F178" i="13"/>
  <c r="G178" i="13"/>
  <c r="H178" i="13" s="1"/>
  <c r="I178" i="13" s="1"/>
  <c r="J178" i="13" s="1"/>
  <c r="K178" i="13" s="1"/>
  <c r="B179" i="13"/>
  <c r="F179" i="13"/>
  <c r="G179" i="13"/>
  <c r="H179" i="13" s="1"/>
  <c r="I179" i="13" s="1"/>
  <c r="J179" i="13" s="1"/>
  <c r="K179" i="13" s="1"/>
  <c r="B180" i="13"/>
  <c r="F180" i="13"/>
  <c r="G180" i="13"/>
  <c r="H180" i="13" s="1"/>
  <c r="I180" i="13" s="1"/>
  <c r="J180" i="13" s="1"/>
  <c r="K180" i="13" s="1"/>
  <c r="B181" i="13"/>
  <c r="F181" i="13"/>
  <c r="G181" i="13"/>
  <c r="H181" i="13" s="1"/>
  <c r="I181" i="13" s="1"/>
  <c r="J181" i="13" s="1"/>
  <c r="K181" i="13" s="1"/>
  <c r="B182" i="13"/>
  <c r="F182" i="13"/>
  <c r="G182" i="13"/>
  <c r="H182" i="13" s="1"/>
  <c r="I182" i="13" s="1"/>
  <c r="J182" i="13" s="1"/>
  <c r="K182" i="13" s="1"/>
  <c r="B183" i="13"/>
  <c r="F183" i="13"/>
  <c r="G183" i="13"/>
  <c r="H183" i="13" s="1"/>
  <c r="I183" i="13" s="1"/>
  <c r="J183" i="13" s="1"/>
  <c r="K183" i="13" s="1"/>
  <c r="B184" i="13"/>
  <c r="F184" i="13"/>
  <c r="G184" i="13"/>
  <c r="H184" i="13" s="1"/>
  <c r="I184" i="13" s="1"/>
  <c r="J184" i="13" s="1"/>
  <c r="K184" i="13" s="1"/>
  <c r="B185" i="13"/>
  <c r="F185" i="13"/>
  <c r="G185" i="13"/>
  <c r="H185" i="13" s="1"/>
  <c r="I185" i="13" s="1"/>
  <c r="J185" i="13" s="1"/>
  <c r="K185" i="13" s="1"/>
  <c r="B186" i="13"/>
  <c r="F186" i="13"/>
  <c r="G186" i="13"/>
  <c r="H186" i="13" s="1"/>
  <c r="I186" i="13" s="1"/>
  <c r="J186" i="13" s="1"/>
  <c r="K186" i="13" s="1"/>
  <c r="B187" i="13"/>
  <c r="F187" i="13"/>
  <c r="G187" i="13"/>
  <c r="H187" i="13" s="1"/>
  <c r="I187" i="13" s="1"/>
  <c r="J187" i="13" s="1"/>
  <c r="K187" i="13" s="1"/>
  <c r="B188" i="13"/>
  <c r="F188" i="13"/>
  <c r="G188" i="13"/>
  <c r="H188" i="13" s="1"/>
  <c r="I188" i="13" s="1"/>
  <c r="J188" i="13" s="1"/>
  <c r="K188" i="13" s="1"/>
  <c r="B189" i="13"/>
  <c r="F189" i="13"/>
  <c r="G189" i="13"/>
  <c r="H189" i="13" s="1"/>
  <c r="I189" i="13" s="1"/>
  <c r="J189" i="13" s="1"/>
  <c r="K189" i="13" s="1"/>
  <c r="B190" i="13"/>
  <c r="F190" i="13"/>
  <c r="G190" i="13"/>
  <c r="H190" i="13" s="1"/>
  <c r="I190" i="13" s="1"/>
  <c r="J190" i="13" s="1"/>
  <c r="K190" i="13" s="1"/>
  <c r="B191" i="13"/>
  <c r="F191" i="13"/>
  <c r="G191" i="13"/>
  <c r="H191" i="13" s="1"/>
  <c r="I191" i="13" s="1"/>
  <c r="J191" i="13" s="1"/>
  <c r="K191" i="13" s="1"/>
  <c r="B192" i="13"/>
  <c r="F192" i="13"/>
  <c r="G192" i="13"/>
  <c r="H192" i="13" s="1"/>
  <c r="I192" i="13" s="1"/>
  <c r="J192" i="13" s="1"/>
  <c r="K192" i="13" s="1"/>
  <c r="B193" i="13"/>
  <c r="F193" i="13"/>
  <c r="G193" i="13"/>
  <c r="H193" i="13" s="1"/>
  <c r="I193" i="13" s="1"/>
  <c r="J193" i="13" s="1"/>
  <c r="K193" i="13" s="1"/>
  <c r="B194" i="13"/>
  <c r="F194" i="13"/>
  <c r="G194" i="13"/>
  <c r="H194" i="13" s="1"/>
  <c r="I194" i="13" s="1"/>
  <c r="J194" i="13" s="1"/>
  <c r="K194" i="13" s="1"/>
  <c r="B195" i="13"/>
  <c r="F195" i="13"/>
  <c r="G195" i="13"/>
  <c r="H195" i="13" s="1"/>
  <c r="I195" i="13" s="1"/>
  <c r="J195" i="13" s="1"/>
  <c r="K195" i="13" s="1"/>
  <c r="B196" i="13"/>
  <c r="F196" i="13"/>
  <c r="G196" i="13"/>
  <c r="H196" i="13" s="1"/>
  <c r="I196" i="13" s="1"/>
  <c r="J196" i="13" s="1"/>
  <c r="K196" i="13" s="1"/>
  <c r="B197" i="13"/>
  <c r="F197" i="13"/>
  <c r="G197" i="13"/>
  <c r="H197" i="13" s="1"/>
  <c r="I197" i="13" s="1"/>
  <c r="J197" i="13" s="1"/>
  <c r="K197" i="13" s="1"/>
  <c r="B198" i="13"/>
  <c r="F198" i="13"/>
  <c r="G198" i="13"/>
  <c r="H198" i="13" s="1"/>
  <c r="I198" i="13" s="1"/>
  <c r="J198" i="13" s="1"/>
  <c r="K198" i="13" s="1"/>
  <c r="B199" i="13"/>
  <c r="F199" i="13"/>
  <c r="G199" i="13"/>
  <c r="H199" i="13" s="1"/>
  <c r="I199" i="13" s="1"/>
  <c r="J199" i="13" s="1"/>
  <c r="K199" i="13" s="1"/>
  <c r="B200" i="13"/>
  <c r="F200" i="13"/>
  <c r="G200" i="13"/>
  <c r="H200" i="13" s="1"/>
  <c r="I200" i="13" s="1"/>
  <c r="J200" i="13" s="1"/>
  <c r="K200" i="13" s="1"/>
  <c r="B201" i="13"/>
  <c r="F201" i="13"/>
  <c r="G201" i="13"/>
  <c r="H201" i="13" s="1"/>
  <c r="I201" i="13" s="1"/>
  <c r="J201" i="13" s="1"/>
  <c r="K201" i="13" s="1"/>
  <c r="B202" i="13"/>
  <c r="F202" i="13"/>
  <c r="G202" i="13"/>
  <c r="H202" i="13" s="1"/>
  <c r="I202" i="13" s="1"/>
  <c r="J202" i="13" s="1"/>
  <c r="K202" i="13" s="1"/>
  <c r="B203" i="13"/>
  <c r="F203" i="13"/>
  <c r="G203" i="13"/>
  <c r="H203" i="13" s="1"/>
  <c r="I203" i="13" s="1"/>
  <c r="J203" i="13" s="1"/>
  <c r="K203" i="13" s="1"/>
  <c r="B204" i="13"/>
  <c r="F204" i="13"/>
  <c r="G204" i="13"/>
  <c r="H204" i="13" s="1"/>
  <c r="I204" i="13" s="1"/>
  <c r="J204" i="13" s="1"/>
  <c r="K204" i="13" s="1"/>
  <c r="B205" i="13"/>
  <c r="F205" i="13"/>
  <c r="G205" i="13"/>
  <c r="H205" i="13" s="1"/>
  <c r="I205" i="13" s="1"/>
  <c r="J205" i="13" s="1"/>
  <c r="K205" i="13" s="1"/>
  <c r="B206" i="13"/>
  <c r="F206" i="13"/>
  <c r="G206" i="13"/>
  <c r="H206" i="13" s="1"/>
  <c r="I206" i="13" s="1"/>
  <c r="J206" i="13" s="1"/>
  <c r="K206" i="13" s="1"/>
  <c r="B207" i="13"/>
  <c r="F207" i="13"/>
  <c r="G207" i="13"/>
  <c r="H207" i="13" s="1"/>
  <c r="I207" i="13" s="1"/>
  <c r="J207" i="13" s="1"/>
  <c r="K207" i="13" s="1"/>
  <c r="B208" i="13"/>
  <c r="F208" i="13"/>
  <c r="G208" i="13"/>
  <c r="H208" i="13" s="1"/>
  <c r="I208" i="13" s="1"/>
  <c r="J208" i="13" s="1"/>
  <c r="K208" i="13" s="1"/>
  <c r="B209" i="13"/>
  <c r="F209" i="13"/>
  <c r="G209" i="13"/>
  <c r="H209" i="13" s="1"/>
  <c r="I209" i="13" s="1"/>
  <c r="J209" i="13" s="1"/>
  <c r="K209" i="13" s="1"/>
  <c r="B210" i="13"/>
  <c r="F210" i="13"/>
  <c r="G210" i="13"/>
  <c r="H210" i="13" s="1"/>
  <c r="I210" i="13" s="1"/>
  <c r="J210" i="13" s="1"/>
  <c r="K210" i="13" s="1"/>
  <c r="B211" i="13"/>
  <c r="F211" i="13"/>
  <c r="G211" i="13"/>
  <c r="H211" i="13" s="1"/>
  <c r="I211" i="13" s="1"/>
  <c r="J211" i="13" s="1"/>
  <c r="K211" i="13" s="1"/>
  <c r="B212" i="13"/>
  <c r="F212" i="13"/>
  <c r="G212" i="13"/>
  <c r="H212" i="13" s="1"/>
  <c r="I212" i="13" s="1"/>
  <c r="J212" i="13" s="1"/>
  <c r="K212" i="13" s="1"/>
  <c r="B213" i="13"/>
  <c r="F213" i="13"/>
  <c r="G213" i="13"/>
  <c r="H213" i="13" s="1"/>
  <c r="I213" i="13" s="1"/>
  <c r="J213" i="13" s="1"/>
  <c r="K213" i="13" s="1"/>
  <c r="B214" i="13"/>
  <c r="F214" i="13"/>
  <c r="G214" i="13"/>
  <c r="H214" i="13" s="1"/>
  <c r="I214" i="13" s="1"/>
  <c r="J214" i="13" s="1"/>
  <c r="K214" i="13" s="1"/>
  <c r="B215" i="13"/>
  <c r="F215" i="13"/>
  <c r="G215" i="13"/>
  <c r="H215" i="13" s="1"/>
  <c r="I215" i="13" s="1"/>
  <c r="J215" i="13" s="1"/>
  <c r="K215" i="13" s="1"/>
  <c r="B216" i="13"/>
  <c r="F216" i="13"/>
  <c r="G216" i="13"/>
  <c r="H216" i="13" s="1"/>
  <c r="I216" i="13" s="1"/>
  <c r="J216" i="13" s="1"/>
  <c r="K216" i="13" s="1"/>
  <c r="B217" i="13"/>
  <c r="F217" i="13"/>
  <c r="G217" i="13"/>
  <c r="H217" i="13" s="1"/>
  <c r="I217" i="13" s="1"/>
  <c r="J217" i="13" s="1"/>
  <c r="K217" i="13" s="1"/>
  <c r="B218" i="13"/>
  <c r="F218" i="13"/>
  <c r="G218" i="13"/>
  <c r="H218" i="13" s="1"/>
  <c r="I218" i="13" s="1"/>
  <c r="J218" i="13" s="1"/>
  <c r="K218" i="13" s="1"/>
  <c r="B219" i="13"/>
  <c r="F219" i="13"/>
  <c r="G219" i="13"/>
  <c r="H219" i="13" s="1"/>
  <c r="I219" i="13" s="1"/>
  <c r="J219" i="13" s="1"/>
  <c r="K219" i="13" s="1"/>
  <c r="B220" i="13"/>
  <c r="F220" i="13"/>
  <c r="G220" i="13"/>
  <c r="H220" i="13" s="1"/>
  <c r="I220" i="13" s="1"/>
  <c r="J220" i="13" s="1"/>
  <c r="K220" i="13" s="1"/>
  <c r="B221" i="13"/>
  <c r="F221" i="13"/>
  <c r="G221" i="13"/>
  <c r="H221" i="13" s="1"/>
  <c r="I221" i="13" s="1"/>
  <c r="J221" i="13" s="1"/>
  <c r="K221" i="13" s="1"/>
  <c r="B222" i="13"/>
  <c r="F222" i="13"/>
  <c r="G222" i="13"/>
  <c r="H222" i="13" s="1"/>
  <c r="I222" i="13" s="1"/>
  <c r="J222" i="13" s="1"/>
  <c r="K222" i="13" s="1"/>
  <c r="B223" i="13"/>
  <c r="F223" i="13"/>
  <c r="G223" i="13"/>
  <c r="H223" i="13" s="1"/>
  <c r="I223" i="13" s="1"/>
  <c r="J223" i="13" s="1"/>
  <c r="K223" i="13" s="1"/>
  <c r="B224" i="13"/>
  <c r="F224" i="13"/>
  <c r="G224" i="13"/>
  <c r="H224" i="13" s="1"/>
  <c r="I224" i="13" s="1"/>
  <c r="J224" i="13" s="1"/>
  <c r="K224" i="13" s="1"/>
  <c r="B225" i="13"/>
  <c r="F225" i="13"/>
  <c r="G225" i="13"/>
  <c r="H225" i="13" s="1"/>
  <c r="I225" i="13" s="1"/>
  <c r="J225" i="13" s="1"/>
  <c r="K225" i="13" s="1"/>
  <c r="B226" i="13"/>
  <c r="F226" i="13"/>
  <c r="G226" i="13"/>
  <c r="H226" i="13" s="1"/>
  <c r="I226" i="13" s="1"/>
  <c r="J226" i="13" s="1"/>
  <c r="K226" i="13" s="1"/>
  <c r="B227" i="13"/>
  <c r="F227" i="13"/>
  <c r="G227" i="13"/>
  <c r="H227" i="13" s="1"/>
  <c r="I227" i="13" s="1"/>
  <c r="J227" i="13" s="1"/>
  <c r="K227" i="13" s="1"/>
  <c r="B228" i="13"/>
  <c r="F228" i="13"/>
  <c r="G228" i="13"/>
  <c r="H228" i="13" s="1"/>
  <c r="I228" i="13" s="1"/>
  <c r="J228" i="13" s="1"/>
  <c r="K228" i="13" s="1"/>
  <c r="B229" i="13"/>
  <c r="F229" i="13"/>
  <c r="G229" i="13"/>
  <c r="H229" i="13" s="1"/>
  <c r="I229" i="13" s="1"/>
  <c r="J229" i="13" s="1"/>
  <c r="K229" i="13" s="1"/>
  <c r="B230" i="13"/>
  <c r="F230" i="13"/>
  <c r="G230" i="13"/>
  <c r="H230" i="13" s="1"/>
  <c r="I230" i="13" s="1"/>
  <c r="J230" i="13" s="1"/>
  <c r="K230" i="13" s="1"/>
  <c r="B231" i="13"/>
  <c r="F231" i="13"/>
  <c r="G231" i="13"/>
  <c r="H231" i="13" s="1"/>
  <c r="I231" i="13" s="1"/>
  <c r="J231" i="13" s="1"/>
  <c r="K231" i="13" s="1"/>
  <c r="B232" i="13"/>
  <c r="F232" i="13"/>
  <c r="G232" i="13"/>
  <c r="H232" i="13" s="1"/>
  <c r="I232" i="13" s="1"/>
  <c r="J232" i="13" s="1"/>
  <c r="K232" i="13" s="1"/>
  <c r="B233" i="13"/>
  <c r="F233" i="13"/>
  <c r="G233" i="13"/>
  <c r="H233" i="13" s="1"/>
  <c r="I233" i="13" s="1"/>
  <c r="J233" i="13" s="1"/>
  <c r="K233" i="13" s="1"/>
  <c r="B234" i="13"/>
  <c r="F234" i="13"/>
  <c r="G234" i="13"/>
  <c r="H234" i="13" s="1"/>
  <c r="I234" i="13" s="1"/>
  <c r="J234" i="13" s="1"/>
  <c r="K234" i="13" s="1"/>
  <c r="B235" i="13"/>
  <c r="F235" i="13"/>
  <c r="G235" i="13"/>
  <c r="H235" i="13" s="1"/>
  <c r="I235" i="13" s="1"/>
  <c r="J235" i="13" s="1"/>
  <c r="K235" i="13" s="1"/>
  <c r="B236" i="13"/>
  <c r="F236" i="13"/>
  <c r="G236" i="13"/>
  <c r="H236" i="13" s="1"/>
  <c r="I236" i="13" s="1"/>
  <c r="J236" i="13" s="1"/>
  <c r="K236" i="13" s="1"/>
  <c r="B237" i="13"/>
  <c r="F237" i="13"/>
  <c r="G237" i="13"/>
  <c r="H237" i="13" s="1"/>
  <c r="I237" i="13" s="1"/>
  <c r="J237" i="13" s="1"/>
  <c r="K237" i="13" s="1"/>
  <c r="B238" i="13"/>
  <c r="F238" i="13"/>
  <c r="G238" i="13"/>
  <c r="H238" i="13" s="1"/>
  <c r="I238" i="13" s="1"/>
  <c r="J238" i="13" s="1"/>
  <c r="K238" i="13" s="1"/>
  <c r="B239" i="13"/>
  <c r="F239" i="13"/>
  <c r="G239" i="13"/>
  <c r="H239" i="13" s="1"/>
  <c r="I239" i="13" s="1"/>
  <c r="J239" i="13" s="1"/>
  <c r="K239" i="13" s="1"/>
  <c r="B240" i="13"/>
  <c r="F240" i="13"/>
  <c r="G240" i="13"/>
  <c r="H240" i="13" s="1"/>
  <c r="I240" i="13" s="1"/>
  <c r="J240" i="13" s="1"/>
  <c r="K240" i="13" s="1"/>
  <c r="B241" i="13"/>
  <c r="F241" i="13"/>
  <c r="G241" i="13"/>
  <c r="H241" i="13" s="1"/>
  <c r="I241" i="13" s="1"/>
  <c r="J241" i="13" s="1"/>
  <c r="K241" i="13" s="1"/>
  <c r="B242" i="13"/>
  <c r="F242" i="13"/>
  <c r="G242" i="13"/>
  <c r="H242" i="13" s="1"/>
  <c r="I242" i="13" s="1"/>
  <c r="J242" i="13" s="1"/>
  <c r="K242" i="13" s="1"/>
  <c r="B243" i="13"/>
  <c r="F243" i="13"/>
  <c r="G243" i="13"/>
  <c r="H243" i="13" s="1"/>
  <c r="I243" i="13" s="1"/>
  <c r="J243" i="13" s="1"/>
  <c r="K243" i="13" s="1"/>
  <c r="B244" i="13"/>
  <c r="F244" i="13"/>
  <c r="G244" i="13"/>
  <c r="H244" i="13" s="1"/>
  <c r="I244" i="13" s="1"/>
  <c r="J244" i="13" s="1"/>
  <c r="K244" i="13" s="1"/>
  <c r="B245" i="13"/>
  <c r="F245" i="13"/>
  <c r="G245" i="13"/>
  <c r="H245" i="13" s="1"/>
  <c r="I245" i="13" s="1"/>
  <c r="J245" i="13" s="1"/>
  <c r="K245" i="13" s="1"/>
  <c r="B246" i="13"/>
  <c r="F246" i="13"/>
  <c r="G246" i="13"/>
  <c r="H246" i="13" s="1"/>
  <c r="I246" i="13" s="1"/>
  <c r="J246" i="13" s="1"/>
  <c r="K246" i="13" s="1"/>
  <c r="B247" i="13"/>
  <c r="F247" i="13"/>
  <c r="G247" i="13"/>
  <c r="H247" i="13" s="1"/>
  <c r="I247" i="13" s="1"/>
  <c r="J247" i="13" s="1"/>
  <c r="K247" i="13" s="1"/>
  <c r="B248" i="13"/>
  <c r="F248" i="13"/>
  <c r="G248" i="13"/>
  <c r="H248" i="13" s="1"/>
  <c r="I248" i="13" s="1"/>
  <c r="J248" i="13" s="1"/>
  <c r="K248" i="13" s="1"/>
  <c r="B249" i="13"/>
  <c r="F249" i="13"/>
  <c r="G249" i="13"/>
  <c r="H249" i="13" s="1"/>
  <c r="I249" i="13" s="1"/>
  <c r="J249" i="13" s="1"/>
  <c r="K249" i="13" s="1"/>
  <c r="B250" i="13"/>
  <c r="F250" i="13"/>
  <c r="G250" i="13"/>
  <c r="H250" i="13" s="1"/>
  <c r="I250" i="13" s="1"/>
  <c r="J250" i="13" s="1"/>
  <c r="K250" i="13" s="1"/>
  <c r="B251" i="13"/>
  <c r="F251" i="13"/>
  <c r="G251" i="13"/>
  <c r="H251" i="13" s="1"/>
  <c r="I251" i="13" s="1"/>
  <c r="J251" i="13" s="1"/>
  <c r="K251" i="13" s="1"/>
  <c r="B252" i="13"/>
  <c r="F252" i="13"/>
  <c r="G252" i="13"/>
  <c r="H252" i="13" s="1"/>
  <c r="I252" i="13" s="1"/>
  <c r="J252" i="13" s="1"/>
  <c r="K252" i="13" s="1"/>
  <c r="B253" i="13"/>
  <c r="F253" i="13"/>
  <c r="G253" i="13"/>
  <c r="H253" i="13" s="1"/>
  <c r="I253" i="13" s="1"/>
  <c r="J253" i="13" s="1"/>
  <c r="K253" i="13" s="1"/>
  <c r="B254" i="13"/>
  <c r="F254" i="13"/>
  <c r="G254" i="13"/>
  <c r="H254" i="13" s="1"/>
  <c r="I254" i="13" s="1"/>
  <c r="J254" i="13" s="1"/>
  <c r="K254" i="13" s="1"/>
  <c r="B255" i="13"/>
  <c r="F255" i="13"/>
  <c r="G255" i="13"/>
  <c r="H255" i="13" s="1"/>
  <c r="I255" i="13" s="1"/>
  <c r="J255" i="13" s="1"/>
  <c r="K255" i="13" s="1"/>
  <c r="B256" i="13"/>
  <c r="F256" i="13"/>
  <c r="G256" i="13"/>
  <c r="H256" i="13" s="1"/>
  <c r="I256" i="13" s="1"/>
  <c r="J256" i="13" s="1"/>
  <c r="K256" i="13" s="1"/>
  <c r="B257" i="13"/>
  <c r="F257" i="13"/>
  <c r="G257" i="13"/>
  <c r="H257" i="13" s="1"/>
  <c r="I257" i="13" s="1"/>
  <c r="J257" i="13" s="1"/>
  <c r="K257" i="13" s="1"/>
  <c r="B258" i="13"/>
  <c r="F258" i="13"/>
  <c r="G258" i="13"/>
  <c r="H258" i="13" s="1"/>
  <c r="I258" i="13" s="1"/>
  <c r="J258" i="13" s="1"/>
  <c r="K258" i="13" s="1"/>
  <c r="B259" i="13"/>
  <c r="F259" i="13"/>
  <c r="G259" i="13"/>
  <c r="H259" i="13" s="1"/>
  <c r="I259" i="13" s="1"/>
  <c r="J259" i="13" s="1"/>
  <c r="K259" i="13" s="1"/>
  <c r="B260" i="13"/>
  <c r="F260" i="13"/>
  <c r="G260" i="13"/>
  <c r="H260" i="13" s="1"/>
  <c r="I260" i="13" s="1"/>
  <c r="J260" i="13" s="1"/>
  <c r="K260" i="13" s="1"/>
  <c r="B261" i="13"/>
  <c r="F261" i="13"/>
  <c r="G261" i="13"/>
  <c r="H261" i="13" s="1"/>
  <c r="I261" i="13" s="1"/>
  <c r="J261" i="13" s="1"/>
  <c r="K261" i="13" s="1"/>
  <c r="B262" i="13"/>
  <c r="F262" i="13"/>
  <c r="G262" i="13"/>
  <c r="H262" i="13" s="1"/>
  <c r="I262" i="13" s="1"/>
  <c r="J262" i="13" s="1"/>
  <c r="K262" i="13" s="1"/>
  <c r="B263" i="13"/>
  <c r="F263" i="13"/>
  <c r="G263" i="13"/>
  <c r="H263" i="13" s="1"/>
  <c r="I263" i="13" s="1"/>
  <c r="J263" i="13" s="1"/>
  <c r="K263" i="13" s="1"/>
  <c r="B264" i="13"/>
  <c r="F264" i="13"/>
  <c r="G264" i="13"/>
  <c r="H264" i="13" s="1"/>
  <c r="I264" i="13" s="1"/>
  <c r="J264" i="13" s="1"/>
  <c r="K264" i="13" s="1"/>
  <c r="B265" i="13"/>
  <c r="F265" i="13"/>
  <c r="G265" i="13"/>
  <c r="H265" i="13" s="1"/>
  <c r="I265" i="13" s="1"/>
  <c r="J265" i="13" s="1"/>
  <c r="K265" i="13" s="1"/>
  <c r="B266" i="13"/>
  <c r="F266" i="13"/>
  <c r="G266" i="13"/>
  <c r="H266" i="13" s="1"/>
  <c r="I266" i="13" s="1"/>
  <c r="J266" i="13" s="1"/>
  <c r="K266" i="13" s="1"/>
  <c r="B267" i="13"/>
  <c r="F267" i="13"/>
  <c r="G267" i="13"/>
  <c r="H267" i="13" s="1"/>
  <c r="I267" i="13" s="1"/>
  <c r="J267" i="13" s="1"/>
  <c r="K267" i="13" s="1"/>
  <c r="B268" i="13"/>
  <c r="F268" i="13"/>
  <c r="G268" i="13"/>
  <c r="H268" i="13" s="1"/>
  <c r="I268" i="13" s="1"/>
  <c r="J268" i="13" s="1"/>
  <c r="K268" i="13" s="1"/>
  <c r="B269" i="13"/>
  <c r="F269" i="13"/>
  <c r="G269" i="13"/>
  <c r="H269" i="13" s="1"/>
  <c r="I269" i="13" s="1"/>
  <c r="J269" i="13" s="1"/>
  <c r="K269" i="13" s="1"/>
  <c r="B270" i="13"/>
  <c r="F270" i="13"/>
  <c r="G270" i="13"/>
  <c r="H270" i="13" s="1"/>
  <c r="I270" i="13" s="1"/>
  <c r="J270" i="13" s="1"/>
  <c r="K270" i="13" s="1"/>
  <c r="B271" i="13"/>
  <c r="F271" i="13"/>
  <c r="G271" i="13"/>
  <c r="H271" i="13" s="1"/>
  <c r="I271" i="13" s="1"/>
  <c r="J271" i="13" s="1"/>
  <c r="K271" i="13" s="1"/>
  <c r="B272" i="13"/>
  <c r="F272" i="13"/>
  <c r="G272" i="13"/>
  <c r="H272" i="13" s="1"/>
  <c r="I272" i="13" s="1"/>
  <c r="J272" i="13" s="1"/>
  <c r="K272" i="13" s="1"/>
  <c r="B273" i="13"/>
  <c r="F273" i="13"/>
  <c r="G273" i="13"/>
  <c r="H273" i="13" s="1"/>
  <c r="I273" i="13" s="1"/>
  <c r="J273" i="13" s="1"/>
  <c r="K273" i="13" s="1"/>
  <c r="B274" i="13"/>
  <c r="F274" i="13"/>
  <c r="G274" i="13"/>
  <c r="H274" i="13" s="1"/>
  <c r="I274" i="13" s="1"/>
  <c r="J274" i="13" s="1"/>
  <c r="K274" i="13" s="1"/>
  <c r="B275" i="13"/>
  <c r="F275" i="13"/>
  <c r="G275" i="13"/>
  <c r="H275" i="13" s="1"/>
  <c r="I275" i="13" s="1"/>
  <c r="J275" i="13" s="1"/>
  <c r="K275" i="13" s="1"/>
  <c r="B276" i="13"/>
  <c r="F276" i="13"/>
  <c r="G276" i="13"/>
  <c r="H276" i="13" s="1"/>
  <c r="I276" i="13" s="1"/>
  <c r="J276" i="13" s="1"/>
  <c r="K276" i="13" s="1"/>
  <c r="B277" i="13"/>
  <c r="F277" i="13"/>
  <c r="G277" i="13"/>
  <c r="H277" i="13" s="1"/>
  <c r="I277" i="13" s="1"/>
  <c r="J277" i="13" s="1"/>
  <c r="K277" i="13" s="1"/>
  <c r="B278" i="13"/>
  <c r="F278" i="13"/>
  <c r="G278" i="13"/>
  <c r="H278" i="13" s="1"/>
  <c r="I278" i="13" s="1"/>
  <c r="J278" i="13" s="1"/>
  <c r="K278" i="13" s="1"/>
  <c r="B279" i="13"/>
  <c r="F279" i="13"/>
  <c r="G279" i="13"/>
  <c r="H279" i="13" s="1"/>
  <c r="I279" i="13" s="1"/>
  <c r="J279" i="13" s="1"/>
  <c r="K279" i="13" s="1"/>
  <c r="B280" i="13"/>
  <c r="F280" i="13"/>
  <c r="G280" i="13"/>
  <c r="H280" i="13" s="1"/>
  <c r="I280" i="13" s="1"/>
  <c r="J280" i="13" s="1"/>
  <c r="K280" i="13" s="1"/>
  <c r="B281" i="13"/>
  <c r="F281" i="13"/>
  <c r="G281" i="13"/>
  <c r="H281" i="13" s="1"/>
  <c r="I281" i="13" s="1"/>
  <c r="J281" i="13" s="1"/>
  <c r="K281" i="13" s="1"/>
  <c r="B282" i="13"/>
  <c r="F282" i="13"/>
  <c r="G282" i="13"/>
  <c r="H282" i="13" s="1"/>
  <c r="I282" i="13" s="1"/>
  <c r="J282" i="13" s="1"/>
  <c r="K282" i="13" s="1"/>
  <c r="B283" i="13"/>
  <c r="F283" i="13"/>
  <c r="G283" i="13"/>
  <c r="H283" i="13" s="1"/>
  <c r="I283" i="13" s="1"/>
  <c r="J283" i="13" s="1"/>
  <c r="K283" i="13" s="1"/>
  <c r="B284" i="13"/>
  <c r="F284" i="13"/>
  <c r="G284" i="13"/>
  <c r="H284" i="13" s="1"/>
  <c r="I284" i="13" s="1"/>
  <c r="J284" i="13" s="1"/>
  <c r="K284" i="13" s="1"/>
  <c r="B285" i="13"/>
  <c r="F285" i="13"/>
  <c r="G285" i="13"/>
  <c r="H285" i="13" s="1"/>
  <c r="I285" i="13" s="1"/>
  <c r="J285" i="13" s="1"/>
  <c r="K285" i="13" s="1"/>
  <c r="B286" i="13"/>
  <c r="F286" i="13"/>
  <c r="G286" i="13"/>
  <c r="H286" i="13" s="1"/>
  <c r="I286" i="13" s="1"/>
  <c r="J286" i="13" s="1"/>
  <c r="K286" i="13" s="1"/>
  <c r="B287" i="13"/>
  <c r="F287" i="13"/>
  <c r="G287" i="13"/>
  <c r="H287" i="13" s="1"/>
  <c r="I287" i="13" s="1"/>
  <c r="J287" i="13" s="1"/>
  <c r="K287" i="13" s="1"/>
  <c r="B288" i="13"/>
  <c r="F288" i="13"/>
  <c r="G288" i="13"/>
  <c r="H288" i="13" s="1"/>
  <c r="I288" i="13" s="1"/>
  <c r="J288" i="13" s="1"/>
  <c r="K288" i="13" s="1"/>
  <c r="B289" i="13"/>
  <c r="F289" i="13"/>
  <c r="G289" i="13"/>
  <c r="H289" i="13" s="1"/>
  <c r="I289" i="13" s="1"/>
  <c r="J289" i="13" s="1"/>
  <c r="K289" i="13" s="1"/>
  <c r="B290" i="13"/>
  <c r="F290" i="13"/>
  <c r="G290" i="13"/>
  <c r="H290" i="13" s="1"/>
  <c r="I290" i="13" s="1"/>
  <c r="J290" i="13" s="1"/>
  <c r="K290" i="13" s="1"/>
  <c r="B291" i="13"/>
  <c r="F291" i="13"/>
  <c r="G291" i="13"/>
  <c r="H291" i="13" s="1"/>
  <c r="I291" i="13" s="1"/>
  <c r="J291" i="13" s="1"/>
  <c r="K291" i="13" s="1"/>
  <c r="B292" i="13"/>
  <c r="F292" i="13"/>
  <c r="G292" i="13"/>
  <c r="H292" i="13" s="1"/>
  <c r="I292" i="13" s="1"/>
  <c r="J292" i="13" s="1"/>
  <c r="K292" i="13" s="1"/>
  <c r="G328" i="13"/>
  <c r="G332" i="13"/>
  <c r="G326" i="13"/>
  <c r="G330" i="13"/>
  <c r="G318" i="13"/>
  <c r="G325" i="13"/>
  <c r="G322" i="13"/>
  <c r="G333" i="13"/>
  <c r="G319" i="13"/>
  <c r="G316" i="13"/>
  <c r="G329" i="13"/>
  <c r="G334" i="13"/>
  <c r="G317" i="13"/>
  <c r="G327" i="13"/>
  <c r="G331" i="13"/>
  <c r="G324" i="13"/>
  <c r="G320" i="13"/>
  <c r="G321" i="13"/>
  <c r="G323" i="13"/>
  <c r="C129" i="10" l="1"/>
  <c r="D129" i="10"/>
  <c r="E129" i="10"/>
  <c r="F129" i="10"/>
  <c r="C7" i="13" s="1"/>
  <c r="G129" i="10"/>
  <c r="H129" i="10"/>
  <c r="I129" i="10"/>
  <c r="J129" i="10"/>
  <c r="K129" i="10"/>
  <c r="L129" i="10"/>
  <c r="M129" i="10"/>
  <c r="N129" i="10"/>
  <c r="O129" i="10"/>
  <c r="P129" i="10"/>
  <c r="Q129" i="10"/>
  <c r="R129" i="10"/>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D128" i="10"/>
  <c r="E128" i="10"/>
  <c r="F128" i="10"/>
  <c r="G128" i="10"/>
  <c r="H128" i="10"/>
  <c r="I128" i="10"/>
  <c r="J128" i="10"/>
  <c r="K128" i="10"/>
  <c r="L128" i="10"/>
  <c r="M128" i="10"/>
  <c r="N128" i="10"/>
  <c r="O128" i="10"/>
  <c r="P128" i="10"/>
  <c r="Q128" i="10"/>
  <c r="R128" i="10"/>
  <c r="C113" i="10"/>
  <c r="D113" i="10"/>
  <c r="E113" i="10"/>
  <c r="F113" i="10"/>
  <c r="G113" i="10"/>
  <c r="H113" i="10"/>
  <c r="I113" i="10"/>
  <c r="J113" i="10"/>
  <c r="K113" i="10"/>
  <c r="L113" i="10"/>
  <c r="M113" i="10"/>
  <c r="N113" i="10"/>
  <c r="O113" i="10"/>
  <c r="P113" i="10"/>
  <c r="Q113" i="10"/>
  <c r="R113" i="10"/>
  <c r="S113" i="10"/>
  <c r="T113" i="10"/>
  <c r="U113" i="10"/>
  <c r="V113" i="10"/>
  <c r="Z113" i="10" s="1"/>
  <c r="D112" i="10"/>
  <c r="E112" i="10"/>
  <c r="F112" i="10"/>
  <c r="G112" i="10"/>
  <c r="H112" i="10"/>
  <c r="I112" i="10"/>
  <c r="J112" i="10"/>
  <c r="K112" i="10"/>
  <c r="L112" i="10"/>
  <c r="M112" i="10"/>
  <c r="N112" i="10"/>
  <c r="O112" i="10"/>
  <c r="P112" i="10"/>
  <c r="Q112" i="10"/>
  <c r="R112" i="10"/>
  <c r="S112" i="10"/>
  <c r="T112" i="10"/>
  <c r="U112" i="10"/>
  <c r="V112" i="10"/>
  <c r="Z112" i="10" s="1"/>
  <c r="C103" i="10"/>
  <c r="D103" i="10"/>
  <c r="E103" i="10"/>
  <c r="F103" i="10"/>
  <c r="G103" i="10"/>
  <c r="H103" i="10"/>
  <c r="I103" i="10"/>
  <c r="J103" i="10"/>
  <c r="K103" i="10"/>
  <c r="L103" i="10"/>
  <c r="M103" i="10"/>
  <c r="N103" i="10"/>
  <c r="O103" i="10"/>
  <c r="P103" i="10"/>
  <c r="Q103" i="10"/>
  <c r="R103" i="10"/>
  <c r="S103" i="10"/>
  <c r="T103" i="10"/>
  <c r="U103" i="10"/>
  <c r="V103" i="10"/>
  <c r="Z103" i="10" s="1"/>
  <c r="D102" i="10"/>
  <c r="E102" i="10"/>
  <c r="F102" i="10"/>
  <c r="G102" i="10"/>
  <c r="H102" i="10"/>
  <c r="I102" i="10"/>
  <c r="J102" i="10"/>
  <c r="K102" i="10"/>
  <c r="L102" i="10"/>
  <c r="M102" i="10"/>
  <c r="N102" i="10"/>
  <c r="O102" i="10"/>
  <c r="P102" i="10"/>
  <c r="Q102" i="10"/>
  <c r="R102" i="10"/>
  <c r="S102" i="10"/>
  <c r="T102" i="10"/>
  <c r="U102" i="10"/>
  <c r="V102" i="10"/>
  <c r="Z102" i="10" s="1"/>
  <c r="A62" i="10"/>
  <c r="C42" i="10"/>
  <c r="D42" i="10"/>
  <c r="E42" i="10"/>
  <c r="F42" i="10"/>
  <c r="G42" i="10"/>
  <c r="H42" i="10"/>
  <c r="I42" i="10"/>
  <c r="J42" i="10"/>
  <c r="K42" i="10"/>
  <c r="L42" i="10"/>
  <c r="M42" i="10"/>
  <c r="N42" i="10"/>
  <c r="O42" i="10"/>
  <c r="P42" i="10"/>
  <c r="Q42" i="10"/>
  <c r="R42" i="10"/>
  <c r="D41" i="10"/>
  <c r="E41" i="10"/>
  <c r="F41" i="10"/>
  <c r="G41" i="10"/>
  <c r="H41" i="10"/>
  <c r="I41" i="10"/>
  <c r="J41" i="10"/>
  <c r="K41" i="10"/>
  <c r="L41" i="10"/>
  <c r="M41" i="10"/>
  <c r="N41" i="10"/>
  <c r="O41" i="10"/>
  <c r="P41" i="10"/>
  <c r="Q41" i="10"/>
  <c r="R41" i="10"/>
  <c r="C316" i="13"/>
  <c r="C317" i="13"/>
  <c r="J317" i="13"/>
  <c r="C318" i="13"/>
  <c r="J318" i="13"/>
  <c r="C319" i="13"/>
  <c r="J319" i="13"/>
  <c r="C320" i="13"/>
  <c r="J320" i="13"/>
  <c r="C321" i="13"/>
  <c r="J321" i="13"/>
  <c r="C322" i="13"/>
  <c r="J322" i="13"/>
  <c r="C323" i="13"/>
  <c r="J323" i="13"/>
  <c r="C324" i="13"/>
  <c r="J324" i="13"/>
  <c r="C325" i="13"/>
  <c r="J325" i="13"/>
  <c r="C326" i="13"/>
  <c r="J326" i="13"/>
  <c r="C327" i="13"/>
  <c r="J327" i="13"/>
  <c r="C328" i="13"/>
  <c r="J328" i="13"/>
  <c r="C329" i="13"/>
  <c r="J329" i="13"/>
  <c r="C330" i="13"/>
  <c r="J330" i="13"/>
  <c r="C331" i="13"/>
  <c r="J331" i="13"/>
  <c r="C332" i="13"/>
  <c r="J332" i="13"/>
  <c r="C333" i="13"/>
  <c r="C334" i="13"/>
  <c r="J334" i="13"/>
  <c r="R35" i="10" l="1"/>
  <c r="AP102" i="10"/>
  <c r="AI41" i="10"/>
  <c r="AI128" i="10"/>
  <c r="AW102" i="10"/>
  <c r="AO102" i="10"/>
  <c r="AI129" i="10"/>
  <c r="AI42" i="10"/>
  <c r="J316" i="13"/>
  <c r="I56" i="10"/>
  <c r="G56" i="10"/>
  <c r="AD112" i="10"/>
  <c r="AD102" i="10"/>
  <c r="AD113" i="10"/>
  <c r="AD103" i="10"/>
  <c r="J333" i="13"/>
  <c r="C128" i="10"/>
  <c r="C41" i="10"/>
  <c r="C56" i="10" s="1"/>
  <c r="AH128" i="10" l="1"/>
  <c r="AH129" i="10"/>
  <c r="AH63" i="10"/>
  <c r="AH42" i="10"/>
  <c r="AH4" i="10"/>
  <c r="AH105" i="10"/>
  <c r="AH104" i="10"/>
  <c r="AH82" i="10"/>
  <c r="AH83" i="10"/>
  <c r="AH62" i="10"/>
  <c r="AH115" i="10"/>
  <c r="AH114" i="10"/>
  <c r="D333" i="13"/>
  <c r="X103" i="10"/>
  <c r="Y103" i="10" s="1"/>
  <c r="X112" i="10"/>
  <c r="Y112" i="10" s="1"/>
  <c r="AA112" i="10" s="1"/>
  <c r="AB112" i="10" s="1"/>
  <c r="X102" i="10"/>
  <c r="Y102" i="10" s="1"/>
  <c r="AA102" i="10" s="1"/>
  <c r="Y62" i="10"/>
  <c r="X113" i="10"/>
  <c r="Y113" i="10" s="1"/>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316" i="13"/>
  <c r="A317" i="13"/>
  <c r="A318" i="13"/>
  <c r="A319" i="13"/>
  <c r="A320" i="13"/>
  <c r="A321" i="13"/>
  <c r="A322" i="13"/>
  <c r="A323" i="13"/>
  <c r="A324" i="13"/>
  <c r="A325" i="13"/>
  <c r="A326" i="13"/>
  <c r="A327" i="13"/>
  <c r="A328" i="13"/>
  <c r="A329" i="13"/>
  <c r="A330" i="13"/>
  <c r="A331" i="13"/>
  <c r="A332" i="13"/>
  <c r="A333" i="13"/>
  <c r="A334" i="13"/>
  <c r="A129" i="10"/>
  <c r="A7" i="13" s="1"/>
  <c r="A42" i="10"/>
  <c r="Y106" i="10"/>
  <c r="Z106" i="10"/>
  <c r="Y117" i="10"/>
  <c r="Y76" i="10"/>
  <c r="Z76" i="10"/>
  <c r="Y116" i="10"/>
  <c r="Y107" i="10"/>
  <c r="Y77" i="10"/>
  <c r="Z116" i="10"/>
  <c r="AB102" i="10" l="1"/>
  <c r="AT102" i="10"/>
  <c r="AR102" i="10"/>
  <c r="AA113" i="10"/>
  <c r="AB113" i="10" s="1"/>
  <c r="AA62" i="10"/>
  <c r="AA103" i="10"/>
  <c r="AB103" i="10" s="1"/>
  <c r="E334" i="13"/>
  <c r="E331" i="13"/>
  <c r="E329" i="13"/>
  <c r="E327" i="13"/>
  <c r="E325" i="13"/>
  <c r="E323" i="13"/>
  <c r="E321" i="13"/>
  <c r="E319" i="13"/>
  <c r="E317" i="13"/>
  <c r="E332" i="13"/>
  <c r="E330" i="13"/>
  <c r="E328" i="13"/>
  <c r="E326" i="13"/>
  <c r="E324" i="13"/>
  <c r="E322" i="13"/>
  <c r="E320" i="13"/>
  <c r="E318" i="13"/>
  <c r="E316" i="13"/>
  <c r="E333" i="13"/>
  <c r="AA77" i="10"/>
  <c r="AA78" i="10" l="1"/>
  <c r="AU102" i="10"/>
  <c r="BP62" i="10"/>
  <c r="BN62" i="10"/>
  <c r="BO62" i="10" s="1"/>
  <c r="Y20" i="10"/>
  <c r="AB62" i="10"/>
  <c r="AA4" i="10"/>
  <c r="Z19" i="10"/>
  <c r="D321" i="13"/>
  <c r="D317" i="13"/>
  <c r="D320" i="13"/>
  <c r="D316" i="13"/>
  <c r="D328" i="13"/>
  <c r="D331" i="13"/>
  <c r="D329" i="13"/>
  <c r="D326" i="13"/>
  <c r="D322" i="13"/>
  <c r="D330" i="13"/>
  <c r="D325" i="13"/>
  <c r="D324" i="13"/>
  <c r="D332" i="13"/>
  <c r="D318" i="13"/>
  <c r="D327" i="13"/>
  <c r="D334" i="13"/>
  <c r="D319" i="13"/>
  <c r="D323" i="13"/>
  <c r="AA18" i="10"/>
  <c r="B114" i="11"/>
  <c r="AA19" i="10" l="1"/>
  <c r="AB4" i="10"/>
  <c r="BM62" i="10"/>
  <c r="AR2" i="10"/>
  <c r="BN2" i="10" s="1"/>
  <c r="BO2" i="10" s="1"/>
  <c r="AU2" i="10"/>
  <c r="BP2" i="10" s="1"/>
  <c r="AT2" i="10"/>
  <c r="BM2" i="10" s="1"/>
  <c r="Z35" i="10"/>
  <c r="Z34" i="10"/>
  <c r="D115" i="11"/>
  <c r="D114" i="11"/>
  <c r="G115" i="11"/>
  <c r="K114" i="11" l="1"/>
  <c r="C41" i="95"/>
  <c r="B315" i="13" l="1"/>
  <c r="B314" i="13"/>
  <c r="B6" i="13"/>
  <c r="M26" i="16"/>
  <c r="L26" i="16"/>
  <c r="L19" i="16"/>
  <c r="M19" i="16"/>
  <c r="O19" i="16"/>
  <c r="R19" i="16"/>
  <c r="N26" i="16"/>
  <c r="L33" i="16"/>
  <c r="C33" i="16" l="1"/>
  <c r="C26" i="16"/>
  <c r="C19" i="16"/>
  <c r="A128" i="10" l="1"/>
  <c r="A6" i="13" s="1"/>
  <c r="H19" i="16"/>
  <c r="C6" i="13" l="1"/>
  <c r="D33" i="16"/>
  <c r="D26" i="16"/>
  <c r="D19" i="16"/>
  <c r="B33" i="16"/>
  <c r="B26" i="16"/>
  <c r="B19" i="16"/>
  <c r="C112" i="10" l="1"/>
  <c r="C102" i="10"/>
  <c r="A113" i="10" l="1"/>
  <c r="A112" i="10"/>
  <c r="C314" i="13" l="1"/>
  <c r="A314" i="13"/>
  <c r="L28" i="16" l="1"/>
  <c r="N28" i="16"/>
  <c r="J28" i="16"/>
  <c r="H28" i="16"/>
  <c r="G28" i="16"/>
  <c r="F28" i="16"/>
  <c r="E28" i="16"/>
  <c r="D28" i="16"/>
  <c r="C34" i="16"/>
  <c r="H21" i="16" l="1"/>
  <c r="I21" i="16" l="1"/>
  <c r="I28" i="16" s="1"/>
  <c r="E35" i="16"/>
  <c r="F35" i="16"/>
  <c r="A102" i="10" l="1"/>
  <c r="A103" i="10"/>
  <c r="X111" i="10" l="1"/>
  <c r="X101" i="10"/>
  <c r="C20" i="16" l="1"/>
  <c r="D21" i="16" l="1"/>
  <c r="E21" i="16"/>
  <c r="F21" i="16"/>
  <c r="G21" i="16"/>
  <c r="J21" i="16"/>
  <c r="K21" i="16"/>
  <c r="M21" i="16"/>
  <c r="O21" i="16"/>
  <c r="P21" i="16"/>
  <c r="Q21" i="16"/>
  <c r="R21" i="16"/>
  <c r="S21" i="16"/>
  <c r="T21" i="16"/>
  <c r="U21" i="16"/>
  <c r="V21" i="16"/>
  <c r="C27" i="16"/>
  <c r="N21" i="16" l="1"/>
  <c r="M28" i="16"/>
  <c r="L21" i="16"/>
  <c r="K28" i="16"/>
  <c r="D35" i="16"/>
  <c r="G35" i="16"/>
  <c r="H35" i="16"/>
  <c r="I35" i="16"/>
  <c r="J35" i="16"/>
  <c r="K35" i="16"/>
  <c r="L35" i="16"/>
  <c r="M27" i="16" l="1"/>
  <c r="A4" i="14" l="1"/>
  <c r="A41" i="10"/>
  <c r="C315" i="13"/>
  <c r="C336" i="13" s="1"/>
  <c r="A315" i="13"/>
  <c r="J315" i="13" l="1"/>
  <c r="H315" i="13"/>
  <c r="D34" i="16"/>
  <c r="B34" i="16"/>
  <c r="B20" i="16"/>
  <c r="B27" i="16"/>
  <c r="H20" i="16"/>
  <c r="D20" i="16"/>
  <c r="D27" i="16"/>
  <c r="J314" i="13"/>
  <c r="H314" i="13"/>
  <c r="D203" i="13" l="1"/>
  <c r="E203" i="13"/>
  <c r="D95" i="13"/>
  <c r="E95" i="13"/>
  <c r="D256" i="13"/>
  <c r="E256" i="13"/>
  <c r="E98" i="13"/>
  <c r="D98" i="13"/>
  <c r="D164" i="13"/>
  <c r="E164" i="13"/>
  <c r="D124" i="13"/>
  <c r="E124" i="13"/>
  <c r="E268" i="13"/>
  <c r="D181" i="13"/>
  <c r="E181" i="13"/>
  <c r="D227" i="13"/>
  <c r="E227" i="13"/>
  <c r="D152" i="13"/>
  <c r="E152" i="13"/>
  <c r="D171" i="13"/>
  <c r="E171" i="13"/>
  <c r="D279" i="13"/>
  <c r="E279" i="13"/>
  <c r="E239" i="13"/>
  <c r="D239" i="13"/>
  <c r="D183" i="13"/>
  <c r="E183" i="13"/>
  <c r="D116" i="13"/>
  <c r="E116" i="13"/>
  <c r="D97" i="13"/>
  <c r="E97" i="13"/>
  <c r="E78" i="13"/>
  <c r="D78" i="13"/>
  <c r="D62" i="13"/>
  <c r="E62" i="13"/>
  <c r="D46" i="13"/>
  <c r="E46" i="13"/>
  <c r="E30" i="13"/>
  <c r="D30" i="13"/>
  <c r="D14" i="13"/>
  <c r="E14" i="13"/>
  <c r="E142" i="13"/>
  <c r="D142" i="13"/>
  <c r="D228" i="13"/>
  <c r="E228" i="13"/>
  <c r="D151" i="13"/>
  <c r="E151" i="13"/>
  <c r="E264" i="13"/>
  <c r="D264" i="13"/>
  <c r="D197" i="13"/>
  <c r="E197" i="13"/>
  <c r="E132" i="13"/>
  <c r="D245" i="13"/>
  <c r="E245" i="13"/>
  <c r="D174" i="13"/>
  <c r="E174" i="13"/>
  <c r="D94" i="13"/>
  <c r="E94" i="13"/>
  <c r="D282" i="13"/>
  <c r="E282" i="13"/>
  <c r="D242" i="13"/>
  <c r="E242" i="13"/>
  <c r="E192" i="13"/>
  <c r="D192" i="13"/>
  <c r="D122" i="13"/>
  <c r="E122" i="13"/>
  <c r="D100" i="13"/>
  <c r="E100" i="13"/>
  <c r="E81" i="13"/>
  <c r="D81" i="13"/>
  <c r="D65" i="13"/>
  <c r="E65" i="13"/>
  <c r="D49" i="13"/>
  <c r="E49" i="13"/>
  <c r="D33" i="13"/>
  <c r="E33" i="13"/>
  <c r="E17" i="13"/>
  <c r="D17" i="13"/>
  <c r="D233" i="13"/>
  <c r="E233" i="13"/>
  <c r="E44" i="13"/>
  <c r="D15" i="13"/>
  <c r="E15" i="13"/>
  <c r="D112" i="13"/>
  <c r="E112" i="13"/>
  <c r="D247" i="13"/>
  <c r="E247" i="13"/>
  <c r="D235" i="13"/>
  <c r="E235" i="13"/>
  <c r="E138" i="13"/>
  <c r="D194" i="13"/>
  <c r="E194" i="13"/>
  <c r="D222" i="13"/>
  <c r="E222" i="13"/>
  <c r="D291" i="13"/>
  <c r="E291" i="13"/>
  <c r="D275" i="13"/>
  <c r="E275" i="13"/>
  <c r="D224" i="13"/>
  <c r="E224" i="13"/>
  <c r="E168" i="13"/>
  <c r="D168" i="13"/>
  <c r="D109" i="13"/>
  <c r="E109" i="13"/>
  <c r="D90" i="13"/>
  <c r="E90" i="13"/>
  <c r="E74" i="13"/>
  <c r="D74" i="13"/>
  <c r="D58" i="13"/>
  <c r="E58" i="13"/>
  <c r="D42" i="13"/>
  <c r="E42" i="13"/>
  <c r="D26" i="13"/>
  <c r="E26" i="13"/>
  <c r="E10" i="13"/>
  <c r="D10" i="13"/>
  <c r="E128" i="13"/>
  <c r="D128" i="13"/>
  <c r="D211" i="13"/>
  <c r="E211" i="13"/>
  <c r="D137" i="13"/>
  <c r="E137" i="13"/>
  <c r="D248" i="13"/>
  <c r="E248" i="13"/>
  <c r="E185" i="13"/>
  <c r="D185" i="13"/>
  <c r="D120" i="13"/>
  <c r="E120" i="13"/>
  <c r="E236" i="13"/>
  <c r="D236" i="13"/>
  <c r="D167" i="13"/>
  <c r="E167" i="13"/>
  <c r="E135" i="13"/>
  <c r="D135" i="13"/>
  <c r="E278" i="13"/>
  <c r="D278" i="13"/>
  <c r="D225" i="13"/>
  <c r="E225" i="13"/>
  <c r="E179" i="13"/>
  <c r="D179" i="13"/>
  <c r="E115" i="13"/>
  <c r="D115" i="13"/>
  <c r="D96" i="13"/>
  <c r="E96" i="13"/>
  <c r="D77" i="13"/>
  <c r="E77" i="13"/>
  <c r="E61" i="13"/>
  <c r="D61" i="13"/>
  <c r="D45" i="13"/>
  <c r="E45" i="13"/>
  <c r="D29" i="13"/>
  <c r="E29" i="13"/>
  <c r="D13" i="13"/>
  <c r="E13" i="13"/>
  <c r="D260" i="13"/>
  <c r="E260" i="13"/>
  <c r="E175" i="13"/>
  <c r="D175" i="13"/>
  <c r="D140" i="13"/>
  <c r="E140" i="13"/>
  <c r="D63" i="13"/>
  <c r="E63" i="13"/>
  <c r="E189" i="13"/>
  <c r="D189" i="13"/>
  <c r="D212" i="13"/>
  <c r="E212" i="13"/>
  <c r="D231" i="13"/>
  <c r="E231" i="13"/>
  <c r="D184" i="13"/>
  <c r="E184" i="13"/>
  <c r="D252" i="13"/>
  <c r="E252" i="13"/>
  <c r="E289" i="13"/>
  <c r="D289" i="13"/>
  <c r="D270" i="13"/>
  <c r="E270" i="13"/>
  <c r="E209" i="13"/>
  <c r="D209" i="13"/>
  <c r="D161" i="13"/>
  <c r="E161" i="13"/>
  <c r="D107" i="13"/>
  <c r="E107" i="13"/>
  <c r="D88" i="13"/>
  <c r="E88" i="13"/>
  <c r="D72" i="13"/>
  <c r="E72" i="13"/>
  <c r="D56" i="13"/>
  <c r="E56" i="13"/>
  <c r="E40" i="13"/>
  <c r="D40" i="13"/>
  <c r="D24" i="13"/>
  <c r="E24" i="13"/>
  <c r="D8" i="13"/>
  <c r="E8" i="13"/>
  <c r="D267" i="13"/>
  <c r="E267" i="13"/>
  <c r="E202" i="13"/>
  <c r="D202" i="13"/>
  <c r="D130" i="13"/>
  <c r="E130" i="13"/>
  <c r="D234" i="13"/>
  <c r="E234" i="13"/>
  <c r="D177" i="13"/>
  <c r="E177" i="13"/>
  <c r="D113" i="13"/>
  <c r="E113" i="13"/>
  <c r="D221" i="13"/>
  <c r="E221" i="13"/>
  <c r="D160" i="13"/>
  <c r="E160" i="13"/>
  <c r="D292" i="13"/>
  <c r="E292" i="13"/>
  <c r="D276" i="13"/>
  <c r="E276" i="13"/>
  <c r="D223" i="13"/>
  <c r="E223" i="13"/>
  <c r="D150" i="13"/>
  <c r="E150" i="13"/>
  <c r="D110" i="13"/>
  <c r="E110" i="13"/>
  <c r="E91" i="13"/>
  <c r="D91" i="13"/>
  <c r="D75" i="13"/>
  <c r="E75" i="13"/>
  <c r="D59" i="13"/>
  <c r="E59" i="13"/>
  <c r="D43" i="13"/>
  <c r="E43" i="13"/>
  <c r="E27" i="13"/>
  <c r="D27" i="13"/>
  <c r="D11" i="13"/>
  <c r="E11" i="13"/>
  <c r="D131" i="13"/>
  <c r="E131" i="13"/>
  <c r="D114" i="13"/>
  <c r="E114" i="13"/>
  <c r="D76" i="13"/>
  <c r="E76" i="13"/>
  <c r="D28" i="13"/>
  <c r="E28" i="13"/>
  <c r="D195" i="13"/>
  <c r="E195" i="13"/>
  <c r="D238" i="13"/>
  <c r="E238" i="13"/>
  <c r="D220" i="13"/>
  <c r="E220" i="13"/>
  <c r="D240" i="13"/>
  <c r="E240" i="13"/>
  <c r="D31" i="13"/>
  <c r="E31" i="13"/>
  <c r="E196" i="13"/>
  <c r="D196" i="13"/>
  <c r="D157" i="13"/>
  <c r="E157" i="13"/>
  <c r="D133" i="13"/>
  <c r="E133" i="13"/>
  <c r="E162" i="13"/>
  <c r="D162" i="13"/>
  <c r="D229" i="13"/>
  <c r="E229" i="13"/>
  <c r="D287" i="13"/>
  <c r="E287" i="13"/>
  <c r="D262" i="13"/>
  <c r="E262" i="13"/>
  <c r="D207" i="13"/>
  <c r="E207" i="13"/>
  <c r="D154" i="13"/>
  <c r="E154" i="13"/>
  <c r="D105" i="13"/>
  <c r="E105" i="13"/>
  <c r="D86" i="13"/>
  <c r="E86" i="13"/>
  <c r="D70" i="13"/>
  <c r="E70" i="13"/>
  <c r="E54" i="13"/>
  <c r="D54" i="13"/>
  <c r="D38" i="13"/>
  <c r="E38" i="13"/>
  <c r="D22" i="13"/>
  <c r="E22" i="13"/>
  <c r="D198" i="13"/>
  <c r="E198" i="13"/>
  <c r="D259" i="13"/>
  <c r="E259" i="13"/>
  <c r="D188" i="13"/>
  <c r="E188" i="13"/>
  <c r="E125" i="13"/>
  <c r="D125" i="13"/>
  <c r="E232" i="13"/>
  <c r="D232" i="13"/>
  <c r="D170" i="13"/>
  <c r="E170" i="13"/>
  <c r="E121" i="13"/>
  <c r="D121" i="13"/>
  <c r="E219" i="13"/>
  <c r="D219" i="13"/>
  <c r="D153" i="13"/>
  <c r="E153" i="13"/>
  <c r="D290" i="13"/>
  <c r="E290" i="13"/>
  <c r="D274" i="13"/>
  <c r="E274" i="13"/>
  <c r="D210" i="13"/>
  <c r="E210" i="13"/>
  <c r="D148" i="13"/>
  <c r="E148" i="13"/>
  <c r="E108" i="13"/>
  <c r="D108" i="13"/>
  <c r="D89" i="13"/>
  <c r="E89" i="13"/>
  <c r="D73" i="13"/>
  <c r="E73" i="13"/>
  <c r="E57" i="13"/>
  <c r="D57" i="13"/>
  <c r="D41" i="13"/>
  <c r="E41" i="13"/>
  <c r="D25" i="13"/>
  <c r="E25" i="13"/>
  <c r="D9" i="13"/>
  <c r="E9" i="13"/>
  <c r="D257" i="13"/>
  <c r="E257" i="13"/>
  <c r="E111" i="13"/>
  <c r="D111" i="13"/>
  <c r="D144" i="13"/>
  <c r="E144" i="13"/>
  <c r="D117" i="13"/>
  <c r="E117" i="13"/>
  <c r="D273" i="13"/>
  <c r="E273" i="13"/>
  <c r="D166" i="13"/>
  <c r="E166" i="13"/>
  <c r="E145" i="13"/>
  <c r="D145" i="13"/>
  <c r="D263" i="13"/>
  <c r="E263" i="13"/>
  <c r="E271" i="13"/>
  <c r="D271" i="13"/>
  <c r="D119" i="13"/>
  <c r="E119" i="13"/>
  <c r="D216" i="13"/>
  <c r="E216" i="13"/>
  <c r="E285" i="13"/>
  <c r="D285" i="13"/>
  <c r="D254" i="13"/>
  <c r="E254" i="13"/>
  <c r="D200" i="13"/>
  <c r="E200" i="13"/>
  <c r="E149" i="13"/>
  <c r="D149" i="13"/>
  <c r="D103" i="13"/>
  <c r="E103" i="13"/>
  <c r="D84" i="13"/>
  <c r="E84" i="13"/>
  <c r="E68" i="13"/>
  <c r="D68" i="13"/>
  <c r="D52" i="13"/>
  <c r="E52" i="13"/>
  <c r="D36" i="13"/>
  <c r="E36" i="13"/>
  <c r="E20" i="13"/>
  <c r="D20" i="13"/>
  <c r="D186" i="13"/>
  <c r="E186" i="13"/>
  <c r="E251" i="13"/>
  <c r="D251" i="13"/>
  <c r="D180" i="13"/>
  <c r="E180" i="13"/>
  <c r="D123" i="13"/>
  <c r="E123" i="13"/>
  <c r="D217" i="13"/>
  <c r="E217" i="13"/>
  <c r="D165" i="13"/>
  <c r="E165" i="13"/>
  <c r="D269" i="13"/>
  <c r="E269" i="13"/>
  <c r="E206" i="13"/>
  <c r="D206" i="13"/>
  <c r="D146" i="13"/>
  <c r="E146" i="13"/>
  <c r="D288" i="13"/>
  <c r="E288" i="13"/>
  <c r="E266" i="13"/>
  <c r="D266" i="13"/>
  <c r="D208" i="13"/>
  <c r="E208" i="13"/>
  <c r="D143" i="13"/>
  <c r="E143" i="13"/>
  <c r="D106" i="13"/>
  <c r="E106" i="13"/>
  <c r="D87" i="13"/>
  <c r="E87" i="13"/>
  <c r="E71" i="13"/>
  <c r="D71" i="13"/>
  <c r="D55" i="13"/>
  <c r="E55" i="13"/>
  <c r="D39" i="13"/>
  <c r="E39" i="13"/>
  <c r="E23" i="13"/>
  <c r="D23" i="13"/>
  <c r="D7" i="13"/>
  <c r="E7" i="13"/>
  <c r="D159" i="13"/>
  <c r="E159" i="13"/>
  <c r="E226" i="13"/>
  <c r="D226" i="13"/>
  <c r="D60" i="13"/>
  <c r="E60" i="13"/>
  <c r="E213" i="13"/>
  <c r="D213" i="13"/>
  <c r="D127" i="13"/>
  <c r="E127" i="13"/>
  <c r="E172" i="13"/>
  <c r="D172" i="13"/>
  <c r="D280" i="13"/>
  <c r="E280" i="13"/>
  <c r="D187" i="13"/>
  <c r="E187" i="13"/>
  <c r="D79" i="13"/>
  <c r="E79" i="13"/>
  <c r="D169" i="13"/>
  <c r="E169" i="13"/>
  <c r="D237" i="13"/>
  <c r="E237" i="13"/>
  <c r="D244" i="13"/>
  <c r="E244" i="13"/>
  <c r="D265" i="13"/>
  <c r="E265" i="13"/>
  <c r="D205" i="13"/>
  <c r="E205" i="13"/>
  <c r="E246" i="13"/>
  <c r="D246" i="13"/>
  <c r="D193" i="13"/>
  <c r="E193" i="13"/>
  <c r="D147" i="13"/>
  <c r="E147" i="13"/>
  <c r="D101" i="13"/>
  <c r="E101" i="13"/>
  <c r="D82" i="13"/>
  <c r="E82" i="13"/>
  <c r="D66" i="13"/>
  <c r="E66" i="13"/>
  <c r="D50" i="13"/>
  <c r="E50" i="13"/>
  <c r="E34" i="13"/>
  <c r="D34" i="13"/>
  <c r="D18" i="13"/>
  <c r="E18" i="13"/>
  <c r="D178" i="13"/>
  <c r="E178" i="13"/>
  <c r="E243" i="13"/>
  <c r="D243" i="13"/>
  <c r="D158" i="13"/>
  <c r="E158" i="13"/>
  <c r="D92" i="13"/>
  <c r="E92" i="13"/>
  <c r="D215" i="13"/>
  <c r="E215" i="13"/>
  <c r="D163" i="13"/>
  <c r="E163" i="13"/>
  <c r="D261" i="13"/>
  <c r="E261" i="13"/>
  <c r="D190" i="13"/>
  <c r="E190" i="13"/>
  <c r="D141" i="13"/>
  <c r="E141" i="13"/>
  <c r="D286" i="13"/>
  <c r="E286" i="13"/>
  <c r="D258" i="13"/>
  <c r="E258" i="13"/>
  <c r="D201" i="13"/>
  <c r="E201" i="13"/>
  <c r="D136" i="13"/>
  <c r="E136" i="13"/>
  <c r="E104" i="13"/>
  <c r="D104" i="13"/>
  <c r="E85" i="13"/>
  <c r="D85" i="13"/>
  <c r="D69" i="13"/>
  <c r="E69" i="13"/>
  <c r="D53" i="13"/>
  <c r="E53" i="13"/>
  <c r="D37" i="13"/>
  <c r="E37" i="13"/>
  <c r="D21" i="13"/>
  <c r="E21" i="13"/>
  <c r="D277" i="13"/>
  <c r="E277" i="13"/>
  <c r="D12" i="13"/>
  <c r="E12" i="13"/>
  <c r="E47" i="13"/>
  <c r="D47" i="13"/>
  <c r="D126" i="13"/>
  <c r="E126" i="13"/>
  <c r="E283" i="13"/>
  <c r="D283" i="13"/>
  <c r="D176" i="13"/>
  <c r="E176" i="13"/>
  <c r="E155" i="13"/>
  <c r="D155" i="13"/>
  <c r="D255" i="13"/>
  <c r="E255" i="13"/>
  <c r="D214" i="13"/>
  <c r="E214" i="13"/>
  <c r="E249" i="13"/>
  <c r="D249" i="13"/>
  <c r="D218" i="13"/>
  <c r="E218" i="13"/>
  <c r="D93" i="13"/>
  <c r="E93" i="13"/>
  <c r="E281" i="13"/>
  <c r="D281" i="13"/>
  <c r="D241" i="13"/>
  <c r="E241" i="13"/>
  <c r="D191" i="13"/>
  <c r="E191" i="13"/>
  <c r="E118" i="13"/>
  <c r="D118" i="13"/>
  <c r="D99" i="13"/>
  <c r="E99" i="13"/>
  <c r="D80" i="13"/>
  <c r="E80" i="13"/>
  <c r="E64" i="13"/>
  <c r="D64" i="13"/>
  <c r="D48" i="13"/>
  <c r="E48" i="13"/>
  <c r="D32" i="13"/>
  <c r="E32" i="13"/>
  <c r="D16" i="13"/>
  <c r="E16" i="13"/>
  <c r="D173" i="13"/>
  <c r="E173" i="13"/>
  <c r="D230" i="13"/>
  <c r="E230" i="13"/>
  <c r="D156" i="13"/>
  <c r="E156" i="13"/>
  <c r="D272" i="13"/>
  <c r="E272" i="13"/>
  <c r="D204" i="13"/>
  <c r="E204" i="13"/>
  <c r="D134" i="13"/>
  <c r="E134" i="13"/>
  <c r="E253" i="13"/>
  <c r="D253" i="13"/>
  <c r="E182" i="13"/>
  <c r="D182" i="13"/>
  <c r="D139" i="13"/>
  <c r="E139" i="13"/>
  <c r="E284" i="13"/>
  <c r="D284" i="13"/>
  <c r="D250" i="13"/>
  <c r="E250" i="13"/>
  <c r="E199" i="13"/>
  <c r="D199" i="13"/>
  <c r="D129" i="13"/>
  <c r="E129" i="13"/>
  <c r="D102" i="13"/>
  <c r="E102" i="13"/>
  <c r="D83" i="13"/>
  <c r="E83" i="13"/>
  <c r="D67" i="13"/>
  <c r="E67" i="13"/>
  <c r="E51" i="13"/>
  <c r="D51" i="13"/>
  <c r="D35" i="13"/>
  <c r="E35" i="13"/>
  <c r="D19" i="13"/>
  <c r="E19" i="13"/>
  <c r="U24" i="10"/>
  <c r="Q18" i="11" s="1"/>
  <c r="U23" i="10"/>
  <c r="I34" i="16"/>
  <c r="K34" i="16"/>
  <c r="J20" i="16"/>
  <c r="I27" i="16"/>
  <c r="N20" i="16"/>
  <c r="K27" i="16"/>
  <c r="D138" i="13" l="1"/>
  <c r="D44" i="13"/>
  <c r="D132" i="13"/>
  <c r="D268" i="13"/>
  <c r="K315" i="13"/>
  <c r="L20" i="16"/>
  <c r="O20" i="16"/>
  <c r="I330" i="13"/>
  <c r="I320" i="13"/>
  <c r="I322" i="13"/>
  <c r="I332" i="13"/>
  <c r="I319" i="13"/>
  <c r="I323" i="13"/>
  <c r="I325" i="13"/>
  <c r="I324" i="13"/>
  <c r="I328" i="13"/>
  <c r="I318" i="13"/>
  <c r="I317" i="13"/>
  <c r="I327" i="13"/>
  <c r="I316" i="13"/>
  <c r="I334" i="13"/>
  <c r="I326" i="13"/>
  <c r="I321" i="13"/>
  <c r="I329" i="13"/>
  <c r="I331" i="13"/>
  <c r="I333" i="13"/>
  <c r="K314" i="13" l="1"/>
  <c r="K336" i="13" s="1"/>
  <c r="L34" i="16" l="1"/>
  <c r="N27" i="16" l="1"/>
  <c r="E115" i="11"/>
  <c r="H114" i="11"/>
  <c r="C114" i="11"/>
  <c r="E114" i="11"/>
  <c r="C115" i="11"/>
  <c r="H115" i="11"/>
  <c r="B115" i="11"/>
  <c r="F115" i="11"/>
  <c r="F114" i="11"/>
  <c r="O114" i="11" l="1"/>
  <c r="Q114" i="11"/>
  <c r="C39" i="95"/>
  <c r="C116" i="11"/>
  <c r="F116" i="11"/>
  <c r="E116" i="11"/>
  <c r="B116" i="11"/>
  <c r="H117" i="11" s="1"/>
  <c r="E117" i="11"/>
  <c r="G117" i="11"/>
  <c r="D116" i="11"/>
  <c r="G116" i="11"/>
  <c r="F117" i="11"/>
  <c r="H116" i="11"/>
  <c r="R114" i="11" l="1"/>
  <c r="T20" i="16"/>
  <c r="U20" i="16"/>
  <c r="I315" i="13"/>
  <c r="I314" i="13"/>
  <c r="J27" i="16"/>
  <c r="M20" i="16"/>
  <c r="L27" i="16"/>
  <c r="J34" i="16"/>
  <c r="D117" i="11"/>
  <c r="C117" i="11"/>
  <c r="I336" i="13" l="1"/>
  <c r="J336" i="13" s="1"/>
  <c r="F314" i="13"/>
  <c r="G27" i="16" l="1"/>
  <c r="G34" i="16"/>
  <c r="G20" i="16"/>
  <c r="F315" i="13"/>
  <c r="D315" i="13" l="1"/>
  <c r="E34" i="16"/>
  <c r="E27" i="16" l="1"/>
  <c r="G315" i="13"/>
  <c r="E315" i="13" l="1"/>
  <c r="E20" i="16"/>
  <c r="D314" i="13"/>
  <c r="D336" i="13" s="1"/>
  <c r="G314" i="13"/>
  <c r="H34" i="16"/>
  <c r="I20" i="16"/>
  <c r="H27" i="16"/>
  <c r="G336" i="13" l="1"/>
  <c r="H336" i="13" s="1"/>
  <c r="Q20" i="16"/>
  <c r="P20" i="16"/>
  <c r="V20" i="16"/>
  <c r="F336" i="13"/>
  <c r="K20" i="16"/>
  <c r="S20" i="16" l="1"/>
  <c r="R20" i="16"/>
  <c r="E314" i="13"/>
  <c r="E336" i="13" s="1"/>
  <c r="F34" i="16"/>
  <c r="F27" i="16"/>
  <c r="F20" i="16"/>
  <c r="K26" i="16" l="1"/>
  <c r="K33" i="16"/>
  <c r="I26" i="16" l="1"/>
  <c r="J19" i="16"/>
  <c r="I33" i="16"/>
  <c r="G19" i="16" l="1"/>
  <c r="G33" i="16" l="1"/>
  <c r="G26" i="16"/>
  <c r="F6" i="13"/>
  <c r="J33" i="16" l="1"/>
  <c r="J26" i="16"/>
  <c r="P19" i="16" l="1"/>
  <c r="I19" i="16"/>
  <c r="H33" i="16"/>
  <c r="H26" i="16"/>
  <c r="G6" i="13"/>
  <c r="H6" i="13" s="1"/>
  <c r="I6" i="13" s="1"/>
  <c r="J6" i="13" s="1"/>
  <c r="K6" i="13" s="1"/>
  <c r="K19" i="16"/>
  <c r="F26" i="16" l="1"/>
  <c r="F33" i="16"/>
  <c r="F19" i="16"/>
  <c r="E6" i="13"/>
  <c r="AA35" i="10"/>
  <c r="AH41" i="10" l="1"/>
  <c r="AH103" i="10" l="1"/>
  <c r="AH102" i="10"/>
  <c r="AH113" i="10"/>
  <c r="AH112" i="10"/>
  <c r="E19" i="16"/>
  <c r="E26" i="16"/>
  <c r="E33" i="16"/>
  <c r="D6" i="13"/>
  <c r="AA34" i="10"/>
  <c r="AS102" i="10" l="1"/>
  <c r="M114" i="11"/>
  <c r="P114" i="11" l="1"/>
  <c r="J114" i="11"/>
  <c r="N114" i="11"/>
  <c r="L114" i="11"/>
  <c r="K115" i="11"/>
  <c r="Q115" i="11" l="1"/>
  <c r="O115" i="11"/>
  <c r="R115" i="11"/>
  <c r="M115" i="11"/>
  <c r="J115" i="11"/>
  <c r="N115" i="11"/>
  <c r="L115" i="11"/>
  <c r="P115" i="11"/>
  <c r="K116" i="11"/>
  <c r="Q116" i="11" l="1"/>
  <c r="O116" i="11"/>
  <c r="X115" i="11"/>
  <c r="K117" i="11"/>
  <c r="R116" i="11"/>
  <c r="J116" i="11"/>
  <c r="N116" i="11"/>
  <c r="P116" i="11"/>
  <c r="L116" i="11"/>
  <c r="M116" i="11"/>
  <c r="Q117" i="11" l="1"/>
  <c r="O117" i="11"/>
  <c r="R117" i="11"/>
  <c r="N117" i="11"/>
  <c r="L117" i="11"/>
  <c r="P117" i="11"/>
  <c r="M117" i="11"/>
  <c r="J117" i="11"/>
  <c r="X116" i="11"/>
  <c r="X117" i="11" l="1"/>
  <c r="Q19" i="16" l="1"/>
  <c r="T19" i="16" l="1"/>
  <c r="N19" i="16"/>
  <c r="S19" i="16"/>
  <c r="V19" i="16" l="1"/>
  <c r="U19" i="16"/>
  <c r="L101" i="11"/>
  <c r="L102" i="11"/>
  <c r="AJ4" i="14" l="1"/>
  <c r="L103" i="11"/>
  <c r="AK4" i="14" s="1"/>
  <c r="M102" i="11"/>
  <c r="M101" i="11"/>
  <c r="AL4" i="14" l="1"/>
  <c r="M103" i="11"/>
  <c r="AM4" i="14" s="1"/>
  <c r="J197" i="11" l="1"/>
  <c r="J198" i="11" l="1"/>
  <c r="J199" i="11" l="1"/>
  <c r="J200" i="11" l="1"/>
  <c r="B117" i="11"/>
  <c r="C118" i="11"/>
  <c r="G118" i="11"/>
  <c r="F118" i="11"/>
  <c r="H118" i="11"/>
  <c r="D118" i="11"/>
  <c r="E118" i="11"/>
  <c r="B118" i="11"/>
  <c r="F119" i="11"/>
  <c r="D119" i="11"/>
  <c r="C119" i="11"/>
  <c r="G119" i="11"/>
  <c r="B119" i="11"/>
  <c r="H119" i="11"/>
  <c r="C120" i="11"/>
  <c r="B120" i="11"/>
  <c r="E119" i="11"/>
  <c r="G121" i="11"/>
  <c r="C121" i="11"/>
  <c r="E120" i="11"/>
  <c r="G120" i="11"/>
  <c r="D121" i="11"/>
  <c r="H120" i="11"/>
  <c r="B121" i="11"/>
  <c r="H121" i="11"/>
  <c r="G122" i="11"/>
  <c r="F120" i="11"/>
  <c r="D120" i="11"/>
  <c r="E122" i="11"/>
  <c r="H122" i="11"/>
  <c r="D122" i="11"/>
  <c r="E121" i="11"/>
  <c r="F121" i="11"/>
  <c r="C122" i="11"/>
  <c r="B122" i="11"/>
  <c r="D123" i="11"/>
  <c r="F122" i="11"/>
  <c r="E123" i="11"/>
  <c r="G123" i="11"/>
  <c r="B123" i="11"/>
  <c r="G124" i="11"/>
  <c r="B124" i="11"/>
  <c r="C123" i="11"/>
  <c r="F125" i="11"/>
  <c r="H123" i="11"/>
  <c r="F123" i="11"/>
  <c r="E124" i="11"/>
  <c r="C125" i="11"/>
  <c r="B125" i="11"/>
  <c r="H124" i="11"/>
  <c r="D126" i="11"/>
  <c r="D125" i="11"/>
  <c r="G125" i="11"/>
  <c r="H125" i="11"/>
  <c r="E125" i="11"/>
  <c r="F124" i="11"/>
  <c r="D124" i="11"/>
  <c r="C124" i="11"/>
  <c r="C126" i="11"/>
  <c r="G126" i="11"/>
  <c r="F126" i="11"/>
  <c r="H126" i="11"/>
  <c r="E126" i="11"/>
  <c r="B126" i="11"/>
  <c r="D127" i="11"/>
  <c r="C127" i="11"/>
  <c r="H127" i="11"/>
  <c r="F127" i="11"/>
  <c r="E127" i="11"/>
  <c r="G127" i="11"/>
  <c r="B127" i="11"/>
  <c r="E128" i="11"/>
  <c r="C128" i="11"/>
  <c r="F128" i="11"/>
  <c r="H128" i="11"/>
  <c r="G128" i="11"/>
  <c r="D128" i="11"/>
  <c r="B128" i="11"/>
  <c r="B129" i="11"/>
  <c r="E130" i="11"/>
  <c r="H129" i="11"/>
  <c r="D130" i="11"/>
  <c r="H130" i="11"/>
  <c r="D129" i="11"/>
  <c r="F130" i="11"/>
  <c r="G129" i="11"/>
  <c r="C129" i="11"/>
  <c r="C130" i="11"/>
  <c r="E129" i="11"/>
  <c r="G130" i="11"/>
  <c r="B130" i="11"/>
  <c r="F129" i="11"/>
  <c r="C131" i="11"/>
  <c r="F131" i="11"/>
  <c r="D131" i="11"/>
  <c r="H131" i="11"/>
  <c r="B131" i="11"/>
  <c r="D132" i="11"/>
  <c r="F132" i="11"/>
  <c r="G132" i="11"/>
  <c r="E131" i="11"/>
  <c r="C132" i="11"/>
  <c r="G131" i="11"/>
  <c r="H132" i="11"/>
  <c r="E132" i="11"/>
  <c r="B132" i="11"/>
  <c r="B133" i="11"/>
  <c r="D133" i="11"/>
  <c r="C134" i="11"/>
  <c r="G134" i="11"/>
  <c r="E133" i="11"/>
  <c r="F133" i="11"/>
  <c r="E134" i="11"/>
  <c r="C133" i="11"/>
  <c r="F134" i="11"/>
  <c r="B134" i="11"/>
  <c r="G133" i="11"/>
  <c r="E135" i="11"/>
  <c r="H134" i="11"/>
  <c r="H133" i="11"/>
  <c r="D134" i="11"/>
  <c r="C135" i="11"/>
  <c r="H135" i="11"/>
  <c r="F135" i="11"/>
  <c r="G135" i="11"/>
  <c r="D135" i="11"/>
  <c r="B135" i="11"/>
  <c r="F136" i="11"/>
  <c r="B136" i="11"/>
  <c r="B137" i="11"/>
  <c r="H138" i="11"/>
  <c r="D138" i="11"/>
  <c r="G137" i="11"/>
  <c r="C136" i="11"/>
  <c r="E137" i="11"/>
  <c r="E138" i="11"/>
  <c r="G136" i="11"/>
  <c r="G138" i="11"/>
  <c r="C138" i="11"/>
  <c r="H137" i="11"/>
  <c r="E136" i="11"/>
  <c r="D136" i="11"/>
  <c r="F137" i="11"/>
  <c r="B138" i="11"/>
  <c r="H136" i="11"/>
  <c r="D137" i="11"/>
  <c r="H139" i="11"/>
  <c r="F138" i="11"/>
  <c r="C137" i="11"/>
  <c r="E139" i="11"/>
  <c r="B139" i="11"/>
  <c r="G139" i="11"/>
  <c r="D139" i="11"/>
  <c r="C139" i="11"/>
  <c r="F139" i="11"/>
  <c r="F140" i="11"/>
  <c r="E140" i="11"/>
  <c r="D140" i="11"/>
  <c r="C140" i="11"/>
  <c r="B140" i="11"/>
  <c r="H140" i="11"/>
  <c r="H141" i="11"/>
  <c r="B141" i="11"/>
  <c r="G140" i="11"/>
  <c r="E141" i="11"/>
  <c r="C142" i="11"/>
  <c r="D142" i="11"/>
  <c r="C141" i="11"/>
  <c r="G141" i="11"/>
  <c r="D141" i="11"/>
  <c r="G142" i="11"/>
  <c r="F142" i="11"/>
  <c r="F141" i="11"/>
  <c r="B142" i="11"/>
  <c r="H142" i="11"/>
  <c r="C143" i="11"/>
  <c r="F143" i="11"/>
  <c r="E142" i="11"/>
  <c r="G143" i="11"/>
  <c r="D143" i="11"/>
  <c r="E143" i="11"/>
  <c r="H143" i="11"/>
  <c r="B143" i="11"/>
  <c r="G144" i="11"/>
  <c r="E144" i="11"/>
  <c r="C144" i="11"/>
  <c r="B144" i="11"/>
  <c r="G145" i="11"/>
  <c r="C145" i="11"/>
  <c r="H145" i="11"/>
  <c r="D144" i="11"/>
  <c r="B145" i="11"/>
  <c r="B146" i="11"/>
  <c r="H144" i="11"/>
  <c r="F144" i="11"/>
  <c r="D146" i="11"/>
  <c r="G147" i="11"/>
  <c r="H146" i="11"/>
  <c r="E145" i="11"/>
  <c r="F145" i="11"/>
  <c r="D145" i="11"/>
  <c r="E146" i="11"/>
  <c r="H147" i="11"/>
  <c r="C146" i="11"/>
  <c r="G146" i="11"/>
  <c r="C147" i="11"/>
  <c r="B147" i="11"/>
  <c r="E148" i="11"/>
  <c r="F148" i="11"/>
  <c r="F146" i="11"/>
  <c r="E147" i="11"/>
  <c r="D147" i="11"/>
  <c r="C148" i="11"/>
  <c r="H148" i="11"/>
  <c r="B148" i="11"/>
  <c r="F147" i="11"/>
  <c r="E149" i="11"/>
  <c r="G149" i="11"/>
  <c r="D148" i="11"/>
  <c r="C149" i="11"/>
  <c r="G148" i="11"/>
  <c r="H149" i="11"/>
  <c r="D149" i="11"/>
  <c r="B149" i="11"/>
  <c r="E150" i="11"/>
  <c r="G150" i="11"/>
  <c r="F149" i="11"/>
  <c r="H150" i="11"/>
  <c r="C150" i="11"/>
  <c r="F150" i="11"/>
  <c r="B150" i="11"/>
  <c r="D150" i="11"/>
  <c r="E151" i="11"/>
  <c r="H151" i="11"/>
  <c r="B151" i="11"/>
  <c r="D151" i="11"/>
  <c r="H152" i="11"/>
  <c r="G152" i="11"/>
  <c r="C151" i="11"/>
  <c r="G151" i="11"/>
  <c r="C152" i="11"/>
  <c r="F151" i="11"/>
  <c r="D152" i="11"/>
  <c r="F152" i="11"/>
  <c r="E152" i="11"/>
  <c r="B152" i="11"/>
  <c r="C153" i="11"/>
  <c r="E153" i="11"/>
  <c r="H153" i="11"/>
  <c r="D153" i="11"/>
  <c r="F153" i="11"/>
  <c r="G153" i="11"/>
  <c r="B153" i="11"/>
  <c r="B154" i="11"/>
  <c r="G154" i="11"/>
  <c r="F155" i="11"/>
  <c r="D155" i="11"/>
  <c r="C155" i="11"/>
  <c r="E154" i="11"/>
  <c r="G155" i="11"/>
  <c r="B155" i="11"/>
  <c r="D154" i="11"/>
  <c r="H154" i="11"/>
  <c r="E156" i="11"/>
  <c r="G156" i="11"/>
  <c r="H156" i="11"/>
  <c r="E155" i="11"/>
  <c r="C154" i="11"/>
  <c r="F154" i="11"/>
  <c r="B156" i="11"/>
  <c r="G157" i="11"/>
  <c r="C156" i="11"/>
  <c r="H157" i="11"/>
  <c r="H155" i="11"/>
  <c r="D157" i="11"/>
  <c r="D156" i="11"/>
  <c r="F156" i="11"/>
  <c r="C157" i="11"/>
  <c r="B157" i="11"/>
  <c r="F157" i="11"/>
  <c r="E157" i="11"/>
  <c r="B158" i="11"/>
  <c r="F159" i="11"/>
  <c r="D158" i="11"/>
  <c r="F158" i="11"/>
  <c r="B159" i="11"/>
  <c r="C160" i="11"/>
  <c r="D160" i="11"/>
  <c r="G158" i="11"/>
  <c r="H158" i="11"/>
  <c r="E158" i="11"/>
  <c r="C158" i="11"/>
  <c r="C159" i="11"/>
  <c r="F160" i="11"/>
  <c r="D159" i="11"/>
  <c r="H159" i="11"/>
  <c r="E159" i="11"/>
  <c r="B160" i="11"/>
  <c r="H160" i="11"/>
  <c r="G161" i="11"/>
  <c r="G159" i="11"/>
  <c r="F161" i="11"/>
  <c r="E160" i="11"/>
  <c r="G160" i="11"/>
  <c r="H161" i="11"/>
  <c r="C161" i="11"/>
  <c r="B161" i="11"/>
  <c r="B162" i="11"/>
  <c r="G163" i="11"/>
  <c r="D163" i="11"/>
  <c r="D162" i="11"/>
  <c r="E162" i="11"/>
  <c r="H162" i="11"/>
  <c r="E161" i="11"/>
  <c r="G162" i="11"/>
  <c r="E163" i="11"/>
  <c r="H163" i="11"/>
  <c r="D161" i="11"/>
  <c r="F163" i="11"/>
  <c r="C163" i="11"/>
  <c r="B163" i="11"/>
  <c r="F162" i="11"/>
  <c r="C162" i="11"/>
  <c r="C164" i="11"/>
  <c r="B164" i="11"/>
  <c r="E164" i="11"/>
  <c r="D164" i="11"/>
  <c r="G164" i="11"/>
  <c r="D165" i="11"/>
  <c r="E165" i="11"/>
  <c r="H164" i="11"/>
  <c r="B165" i="11"/>
  <c r="H165" i="11"/>
  <c r="H166" i="11"/>
  <c r="F165" i="11"/>
  <c r="F164" i="11"/>
  <c r="D166" i="11"/>
  <c r="C165" i="11"/>
  <c r="G165" i="11"/>
  <c r="F166" i="11"/>
  <c r="B166" i="11"/>
  <c r="E167" i="11"/>
  <c r="C166" i="11"/>
  <c r="E166" i="11"/>
  <c r="G166" i="11"/>
  <c r="F167" i="11"/>
  <c r="B167" i="11"/>
  <c r="H168" i="11"/>
  <c r="D168" i="11"/>
  <c r="H167" i="11"/>
  <c r="C167" i="11"/>
  <c r="G167" i="11"/>
  <c r="C168" i="11"/>
  <c r="G168" i="11"/>
  <c r="D167" i="11"/>
  <c r="B168" i="11"/>
  <c r="F169" i="11"/>
  <c r="F168" i="11"/>
  <c r="H169" i="11"/>
  <c r="E168" i="11"/>
  <c r="B169" i="11"/>
  <c r="G169" i="11"/>
  <c r="E169" i="11"/>
  <c r="C170" i="11"/>
  <c r="H170" i="11"/>
  <c r="D170" i="11"/>
  <c r="C169" i="11"/>
  <c r="G170" i="11"/>
  <c r="F170" i="11"/>
  <c r="D169" i="11"/>
  <c r="B170" i="11"/>
  <c r="E170" i="11"/>
  <c r="B171" i="11"/>
  <c r="G172" i="11"/>
  <c r="F171" i="11"/>
  <c r="E172" i="11"/>
  <c r="C171" i="11"/>
  <c r="E171" i="11"/>
  <c r="D171" i="11"/>
  <c r="H172" i="11"/>
  <c r="H171" i="11"/>
  <c r="C172" i="11"/>
  <c r="G171" i="11"/>
  <c r="F172" i="11"/>
  <c r="D172" i="11"/>
  <c r="B172" i="11"/>
  <c r="G173" i="11"/>
  <c r="E173" i="11"/>
  <c r="H173" i="11"/>
  <c r="B173" i="11"/>
  <c r="G174" i="11"/>
  <c r="H174" i="11"/>
  <c r="D174" i="11"/>
  <c r="F174" i="11"/>
  <c r="D173" i="11"/>
  <c r="C173" i="11"/>
  <c r="F173" i="11"/>
  <c r="B174" i="11"/>
  <c r="E174" i="11"/>
  <c r="G175" i="11"/>
  <c r="C175" i="11"/>
  <c r="C174" i="11"/>
  <c r="F175" i="11"/>
  <c r="H175" i="11"/>
  <c r="E175" i="11"/>
  <c r="D175" i="11"/>
  <c r="B175" i="11"/>
  <c r="B176" i="11"/>
  <c r="H177" i="11"/>
  <c r="D176" i="11"/>
  <c r="D177" i="11"/>
  <c r="H176" i="11"/>
  <c r="B177" i="11"/>
  <c r="E178" i="11"/>
  <c r="E177" i="11"/>
  <c r="C176" i="11"/>
  <c r="E176" i="11"/>
  <c r="F177" i="11"/>
  <c r="C177" i="11"/>
  <c r="G177" i="11"/>
  <c r="G178" i="11"/>
  <c r="G176" i="11"/>
  <c r="B178" i="11"/>
  <c r="F176" i="11"/>
  <c r="H178" i="11"/>
  <c r="C179" i="11"/>
  <c r="C178" i="11"/>
  <c r="D178" i="11"/>
  <c r="D179" i="11"/>
  <c r="F178" i="11"/>
  <c r="B179" i="11"/>
  <c r="C180" i="11"/>
  <c r="B180" i="11"/>
  <c r="D180" i="11"/>
  <c r="E180" i="11"/>
  <c r="G181" i="11"/>
  <c r="C181" i="11"/>
  <c r="E179" i="11"/>
  <c r="H179" i="11"/>
  <c r="G179" i="11"/>
  <c r="H180" i="11"/>
  <c r="B181" i="11"/>
  <c r="G180" i="11"/>
  <c r="F179" i="11"/>
  <c r="H181" i="11"/>
  <c r="E181" i="11"/>
  <c r="H182" i="11"/>
  <c r="F180" i="11"/>
  <c r="B182" i="11"/>
  <c r="C183" i="11"/>
  <c r="C182" i="11"/>
  <c r="G182" i="11"/>
  <c r="F181" i="11"/>
  <c r="E182" i="11"/>
  <c r="D181" i="11"/>
  <c r="F182" i="11"/>
  <c r="E183" i="11"/>
  <c r="D183" i="11"/>
  <c r="H183" i="11"/>
  <c r="B183" i="11"/>
  <c r="B184" i="11"/>
  <c r="B185" i="11"/>
  <c r="D186" i="11"/>
  <c r="G185" i="11"/>
  <c r="G184" i="11"/>
  <c r="G183" i="11"/>
  <c r="D182" i="11"/>
  <c r="B186" i="11"/>
  <c r="E185" i="11"/>
  <c r="H184" i="11"/>
  <c r="F183" i="11"/>
  <c r="D185" i="11"/>
  <c r="C186" i="11"/>
  <c r="H186" i="11"/>
  <c r="D187" i="11"/>
  <c r="H187" i="11"/>
  <c r="B187" i="11"/>
  <c r="C185" i="11"/>
  <c r="C184" i="11"/>
  <c r="F184" i="11"/>
  <c r="E184" i="11"/>
  <c r="G186" i="11"/>
  <c r="E187" i="11"/>
  <c r="D188" i="11"/>
  <c r="F188" i="11"/>
  <c r="H185" i="11"/>
  <c r="F186" i="11"/>
  <c r="C187" i="11"/>
  <c r="E188" i="11"/>
  <c r="B188" i="11"/>
  <c r="G187" i="11"/>
  <c r="E186" i="11"/>
  <c r="F185" i="11"/>
  <c r="D184" i="11"/>
  <c r="H188" i="11"/>
  <c r="E189" i="11"/>
  <c r="C188" i="11"/>
  <c r="H189" i="11"/>
  <c r="D189" i="11"/>
  <c r="G188" i="11"/>
  <c r="F187" i="11"/>
  <c r="B189" i="11"/>
  <c r="G190" i="11"/>
  <c r="B190" i="11"/>
  <c r="C189" i="11"/>
  <c r="F190" i="11"/>
  <c r="B191" i="11"/>
  <c r="G192" i="11"/>
  <c r="D191" i="11"/>
  <c r="G189" i="11"/>
  <c r="F189" i="11"/>
  <c r="C192" i="11"/>
  <c r="G191" i="11"/>
  <c r="C190" i="11"/>
  <c r="H190" i="11"/>
  <c r="H191" i="11"/>
  <c r="D192" i="11"/>
  <c r="F192" i="11"/>
  <c r="C191" i="11"/>
  <c r="E190" i="11"/>
  <c r="B192" i="11"/>
  <c r="E191" i="11"/>
  <c r="D190" i="11"/>
  <c r="E192" i="11"/>
  <c r="F193" i="11"/>
  <c r="H192" i="11"/>
  <c r="F191" i="11"/>
  <c r="G193" i="11"/>
  <c r="H193" i="11"/>
  <c r="E193" i="11"/>
  <c r="B193" i="11"/>
  <c r="C193" i="11"/>
  <c r="F194" i="11"/>
  <c r="E194" i="11"/>
  <c r="D193" i="11"/>
  <c r="B194" i="11"/>
  <c r="F195" i="11"/>
  <c r="D194" i="11"/>
  <c r="B195" i="11"/>
  <c r="H194" i="11"/>
  <c r="G194" i="11"/>
  <c r="C195" i="11"/>
  <c r="F196" i="11"/>
  <c r="H195" i="11"/>
  <c r="C194" i="11"/>
  <c r="G195" i="11"/>
  <c r="B196" i="11"/>
  <c r="E197" i="11"/>
  <c r="B197" i="11"/>
  <c r="D196" i="11"/>
  <c r="E195" i="11"/>
  <c r="F198" i="11"/>
  <c r="F197" i="11"/>
  <c r="G196" i="11"/>
  <c r="D195" i="11"/>
  <c r="E196" i="11"/>
  <c r="H198" i="11"/>
  <c r="D197" i="11"/>
  <c r="E198" i="11"/>
  <c r="D198" i="11"/>
  <c r="G198" i="11"/>
  <c r="C196" i="11"/>
  <c r="H196" i="11"/>
  <c r="G197" i="11"/>
  <c r="B198" i="11"/>
  <c r="H199" i="11"/>
  <c r="C199" i="11"/>
  <c r="C197" i="11"/>
  <c r="H197" i="11"/>
  <c r="D199" i="11"/>
  <c r="F199" i="11"/>
  <c r="C198" i="11"/>
  <c r="B199" i="11"/>
  <c r="B200" i="11"/>
  <c r="D201" i="11"/>
  <c r="G201" i="11"/>
  <c r="G199" i="11"/>
  <c r="F201" i="11"/>
  <c r="C200" i="11"/>
  <c r="E199" i="11"/>
  <c r="G200" i="11"/>
  <c r="H201" i="11"/>
  <c r="H200" i="11"/>
  <c r="D200" i="11"/>
  <c r="E201" i="11"/>
  <c r="B201" i="11"/>
  <c r="G202" i="11"/>
  <c r="C201" i="11"/>
  <c r="E200" i="11"/>
  <c r="F200" i="11"/>
  <c r="H202" i="11"/>
  <c r="F202" i="11"/>
  <c r="E202" i="11"/>
  <c r="B202" i="11"/>
  <c r="H203" i="11"/>
  <c r="E203" i="11"/>
  <c r="C202" i="11"/>
  <c r="D202" i="11"/>
  <c r="G203" i="11"/>
  <c r="F203" i="11"/>
  <c r="D203" i="11"/>
  <c r="C203" i="11"/>
  <c r="B203" i="11"/>
  <c r="H204" i="11"/>
  <c r="F204" i="11"/>
  <c r="E204" i="11"/>
  <c r="C204" i="11"/>
  <c r="G204" i="11"/>
  <c r="D204" i="11"/>
  <c r="B204" i="11"/>
  <c r="G205" i="11"/>
  <c r="F205" i="11"/>
  <c r="H205" i="11"/>
  <c r="B205" i="11"/>
  <c r="H206" i="11"/>
  <c r="D205" i="11"/>
  <c r="E206" i="11"/>
  <c r="C205" i="11"/>
  <c r="E205" i="11"/>
  <c r="F206" i="11"/>
  <c r="D206" i="11"/>
  <c r="C206" i="11"/>
  <c r="B206" i="11"/>
  <c r="G206" i="11"/>
  <c r="C207" i="11"/>
  <c r="D207" i="11"/>
  <c r="G207" i="11"/>
  <c r="H207" i="11"/>
  <c r="F207" i="11"/>
  <c r="B207" i="11"/>
  <c r="H208" i="11"/>
  <c r="E207" i="11"/>
  <c r="C208" i="11"/>
  <c r="E208" i="11"/>
  <c r="F208" i="11"/>
  <c r="D208" i="11"/>
  <c r="G208" i="11"/>
  <c r="B208" i="11"/>
  <c r="B209" i="11"/>
  <c r="F209" i="11"/>
  <c r="D209" i="11"/>
  <c r="H209" i="11"/>
  <c r="C210" i="11"/>
  <c r="G210" i="11"/>
  <c r="C209" i="11"/>
  <c r="G209" i="11"/>
  <c r="E209" i="11"/>
  <c r="E210" i="11"/>
  <c r="F210" i="11"/>
  <c r="B210" i="11"/>
  <c r="E211" i="11"/>
  <c r="H211" i="11"/>
  <c r="D210" i="11"/>
  <c r="H210" i="11"/>
  <c r="G211" i="11"/>
  <c r="B211" i="11"/>
  <c r="D211" i="11"/>
  <c r="D212" i="11"/>
  <c r="F212" i="11"/>
  <c r="C211" i="11"/>
  <c r="H212" i="11"/>
  <c r="E212" i="11"/>
  <c r="F211" i="11"/>
  <c r="B212" i="11"/>
  <c r="D213" i="11"/>
  <c r="C212" i="11"/>
  <c r="B213" i="11"/>
  <c r="G212" i="11"/>
  <c r="H213" i="11"/>
  <c r="C213" i="11"/>
  <c r="E213" i="11"/>
  <c r="C214" i="11"/>
  <c r="G213" i="11"/>
  <c r="G214" i="11"/>
  <c r="F213" i="11"/>
  <c r="E214" i="11"/>
  <c r="F214" i="11"/>
  <c r="H214" i="11"/>
  <c r="B214" i="11"/>
  <c r="H215" i="11"/>
  <c r="D214" i="11"/>
  <c r="E215" i="11"/>
  <c r="C215" i="11"/>
  <c r="B215" i="11"/>
  <c r="D215" i="11"/>
  <c r="H216" i="11"/>
  <c r="B216" i="11"/>
  <c r="F215" i="11"/>
  <c r="G215" i="11"/>
  <c r="D216" i="11"/>
  <c r="B217" i="11"/>
  <c r="F217" i="11"/>
  <c r="D218" i="11"/>
  <c r="E218" i="11"/>
  <c r="H218" i="11"/>
  <c r="E216" i="11"/>
  <c r="F216" i="11"/>
  <c r="H217" i="11"/>
  <c r="C216" i="11"/>
  <c r="G216" i="11"/>
  <c r="D217" i="11"/>
  <c r="B218" i="11"/>
  <c r="D219" i="11"/>
  <c r="G218" i="11"/>
  <c r="F218" i="11"/>
  <c r="G217" i="11"/>
  <c r="C217" i="11"/>
  <c r="G219" i="11"/>
  <c r="C219" i="11"/>
  <c r="C218" i="11"/>
  <c r="E217" i="11"/>
  <c r="B219" i="11"/>
  <c r="E219" i="11"/>
  <c r="H219" i="11"/>
  <c r="E220" i="11"/>
  <c r="F220" i="11"/>
  <c r="G220" i="11"/>
  <c r="F219" i="11"/>
  <c r="C220" i="11"/>
  <c r="H220" i="11"/>
  <c r="D220" i="11"/>
  <c r="B220" i="11"/>
  <c r="F221" i="11"/>
  <c r="H221" i="11"/>
  <c r="C221" i="11"/>
  <c r="E221" i="11"/>
  <c r="G221" i="11"/>
  <c r="B221" i="11"/>
  <c r="C222" i="11"/>
  <c r="D221" i="11"/>
  <c r="G222" i="11"/>
  <c r="B222" i="11"/>
  <c r="C223" i="11"/>
  <c r="H223" i="11"/>
  <c r="F223" i="11"/>
  <c r="E222" i="11"/>
  <c r="F222" i="11"/>
  <c r="H222" i="11"/>
  <c r="D222" i="11"/>
  <c r="B223" i="11"/>
  <c r="D223" i="11"/>
  <c r="E223" i="11"/>
  <c r="G223" i="11"/>
  <c r="H224" i="11"/>
  <c r="G224" i="11"/>
  <c r="E224" i="11"/>
  <c r="D224" i="11"/>
  <c r="F224" i="11"/>
  <c r="B224" i="11"/>
  <c r="H225" i="11"/>
  <c r="F225" i="11"/>
  <c r="C224" i="11"/>
  <c r="C225" i="11"/>
  <c r="E225" i="11"/>
  <c r="D225" i="11"/>
  <c r="G225" i="11"/>
  <c r="B225" i="11"/>
  <c r="H226" i="11"/>
  <c r="D226" i="11"/>
  <c r="E226" i="11"/>
  <c r="F226" i="11"/>
  <c r="C226" i="11"/>
  <c r="B226" i="11"/>
  <c r="D227" i="11"/>
  <c r="G226" i="11"/>
  <c r="F227" i="11"/>
  <c r="B227" i="11"/>
  <c r="C228" i="11"/>
  <c r="G228" i="11"/>
  <c r="E227" i="11"/>
  <c r="C227" i="11"/>
  <c r="F228" i="11"/>
  <c r="G227" i="11"/>
  <c r="E228" i="11"/>
  <c r="H228" i="11"/>
  <c r="H227" i="11"/>
  <c r="B228" i="11"/>
  <c r="F229" i="11"/>
  <c r="D228" i="11"/>
  <c r="H229" i="11"/>
  <c r="D229" i="11"/>
  <c r="C229" i="11"/>
  <c r="G229" i="11"/>
  <c r="E229" i="11"/>
  <c r="B229" i="11"/>
  <c r="D230" i="11"/>
  <c r="H230" i="11"/>
  <c r="G230" i="11"/>
  <c r="B230" i="11"/>
  <c r="F230" i="11"/>
  <c r="F231" i="11"/>
  <c r="C230" i="11"/>
  <c r="D231" i="11"/>
  <c r="E231" i="11"/>
  <c r="E230" i="11"/>
  <c r="G231" i="11"/>
  <c r="B231" i="11"/>
  <c r="C231" i="11"/>
  <c r="H231" i="11"/>
  <c r="B232" i="11"/>
  <c r="B233" i="11"/>
  <c r="G232" i="11"/>
  <c r="D232" i="11"/>
  <c r="H234" i="11"/>
  <c r="D234" i="11"/>
  <c r="C233" i="11"/>
  <c r="F232" i="11"/>
  <c r="C232" i="11"/>
  <c r="F233" i="11"/>
  <c r="E234" i="11"/>
  <c r="D233" i="11"/>
  <c r="H232" i="11"/>
  <c r="B234" i="11"/>
  <c r="E233" i="11"/>
  <c r="E232" i="11"/>
  <c r="G233" i="11"/>
  <c r="C234" i="11"/>
  <c r="F234" i="11"/>
  <c r="G234" i="11"/>
  <c r="H233" i="11"/>
  <c r="E235" i="11"/>
  <c r="F235" i="11"/>
  <c r="D235" i="11"/>
  <c r="C235" i="11"/>
  <c r="H235" i="11"/>
  <c r="G235" i="11"/>
  <c r="B235" i="11"/>
  <c r="C236" i="11"/>
  <c r="F236" i="11"/>
  <c r="H236" i="11"/>
  <c r="G236" i="11"/>
  <c r="B236" i="11"/>
  <c r="E236" i="11"/>
  <c r="D236" i="11"/>
  <c r="E237" i="11"/>
  <c r="D237" i="11"/>
  <c r="H237" i="11"/>
  <c r="G237" i="11"/>
  <c r="C237" i="11"/>
  <c r="F237" i="11"/>
  <c r="B237" i="11"/>
  <c r="H238" i="11"/>
  <c r="D238" i="11"/>
  <c r="B238" i="11"/>
  <c r="G238" i="11"/>
  <c r="C238" i="11"/>
  <c r="F238" i="11"/>
  <c r="E239" i="11"/>
  <c r="H239" i="11"/>
  <c r="D239" i="11"/>
  <c r="E238" i="11"/>
  <c r="G239" i="11"/>
  <c r="C239" i="11"/>
  <c r="F239" i="11"/>
  <c r="B239" i="11"/>
  <c r="G240" i="11"/>
  <c r="F240" i="11"/>
  <c r="C240" i="11"/>
  <c r="H240" i="11"/>
  <c r="B240" i="11"/>
  <c r="D240" i="11"/>
  <c r="E241" i="11"/>
  <c r="H241" i="11"/>
  <c r="G241" i="11"/>
  <c r="E240" i="11"/>
  <c r="D241" i="11"/>
  <c r="B241" i="11"/>
  <c r="C241" i="11"/>
  <c r="F241" i="11"/>
  <c r="F242" i="11"/>
  <c r="H242" i="11"/>
  <c r="E242" i="11"/>
  <c r="C242" i="11"/>
  <c r="G242" i="11"/>
  <c r="D242" i="11"/>
  <c r="B242" i="11"/>
  <c r="H243" i="11"/>
  <c r="D243" i="11"/>
  <c r="B243" i="11"/>
  <c r="B244" i="11"/>
  <c r="E245" i="11"/>
  <c r="G245" i="11"/>
  <c r="F245" i="11"/>
  <c r="E244" i="11"/>
  <c r="B245" i="11"/>
  <c r="E243" i="11"/>
  <c r="G243" i="11"/>
  <c r="C243" i="11"/>
  <c r="F243" i="11"/>
  <c r="D244" i="11"/>
  <c r="D245" i="11"/>
  <c r="C246" i="11"/>
  <c r="E246" i="11"/>
  <c r="H244" i="11"/>
  <c r="G246" i="11"/>
  <c r="F246" i="11"/>
  <c r="C244" i="11"/>
  <c r="F244" i="11"/>
  <c r="C245" i="11"/>
  <c r="H246" i="11"/>
  <c r="H245" i="11"/>
  <c r="G244" i="11"/>
  <c r="D246" i="11"/>
  <c r="B246" i="11"/>
  <c r="B247" i="11"/>
  <c r="H247" i="11"/>
  <c r="G248" i="11"/>
  <c r="C248" i="11"/>
  <c r="C247" i="11"/>
  <c r="D247" i="11"/>
  <c r="F248" i="11"/>
  <c r="H248" i="11"/>
  <c r="E247" i="11"/>
  <c r="G247" i="11"/>
  <c r="D248" i="11"/>
  <c r="B248" i="11"/>
  <c r="F247" i="11"/>
  <c r="G249" i="11"/>
  <c r="E248" i="11"/>
  <c r="D249" i="11"/>
  <c r="H249" i="11"/>
  <c r="B249" i="11"/>
  <c r="F249" i="11"/>
  <c r="C249" i="11"/>
  <c r="E250" i="11"/>
  <c r="F250" i="11"/>
  <c r="B250" i="11"/>
  <c r="D251" i="11"/>
  <c r="E251" i="11"/>
  <c r="G250" i="11"/>
  <c r="D250" i="11"/>
  <c r="E249" i="11"/>
  <c r="C250" i="11"/>
  <c r="H250" i="11"/>
  <c r="H251" i="11"/>
  <c r="C251" i="11"/>
  <c r="G251" i="11"/>
  <c r="B251" i="11"/>
  <c r="H252" i="11"/>
  <c r="D252" i="11"/>
  <c r="F251" i="11"/>
  <c r="G252" i="11"/>
  <c r="F252" i="11"/>
  <c r="E252" i="11"/>
  <c r="C252" i="11"/>
  <c r="B252" i="11"/>
  <c r="E253" i="11"/>
  <c r="C253" i="11"/>
  <c r="H253" i="11"/>
  <c r="G253" i="11"/>
  <c r="B253" i="11"/>
  <c r="B254" i="11"/>
  <c r="D253" i="11"/>
  <c r="C254" i="11"/>
  <c r="G255" i="11"/>
  <c r="F255" i="11"/>
  <c r="F253" i="11"/>
  <c r="C255" i="11"/>
  <c r="H254" i="11"/>
  <c r="D255" i="11"/>
  <c r="D254" i="11"/>
  <c r="E254" i="11"/>
  <c r="F254" i="11"/>
  <c r="E255" i="11"/>
  <c r="B255" i="11"/>
  <c r="G254" i="11"/>
  <c r="F256" i="11"/>
  <c r="H255" i="11"/>
  <c r="D256" i="11"/>
  <c r="H256" i="11"/>
  <c r="B256" i="11"/>
  <c r="H257" i="11"/>
  <c r="G256" i="11"/>
  <c r="C257" i="11"/>
  <c r="G257" i="11"/>
  <c r="D257" i="11"/>
  <c r="C256" i="11"/>
  <c r="F257" i="11"/>
  <c r="B257" i="11"/>
  <c r="E256" i="11"/>
  <c r="D258" i="11"/>
  <c r="E257" i="11"/>
  <c r="C258" i="11"/>
  <c r="H258" i="11"/>
  <c r="B258" i="11"/>
  <c r="C259" i="11"/>
  <c r="E258" i="11"/>
  <c r="D259" i="11"/>
  <c r="G258" i="11"/>
  <c r="E259" i="11"/>
  <c r="F258" i="11"/>
  <c r="G259" i="11"/>
  <c r="H259" i="11"/>
  <c r="B259" i="11"/>
  <c r="F259" i="11"/>
  <c r="H260" i="11"/>
  <c r="E260" i="11"/>
  <c r="F260" i="11"/>
  <c r="D260" i="11"/>
  <c r="B260" i="11"/>
  <c r="C260" i="11"/>
  <c r="G260" i="11"/>
  <c r="D261" i="11"/>
  <c r="C261" i="11"/>
  <c r="E261" i="11"/>
  <c r="F261" i="11"/>
  <c r="H261" i="11"/>
  <c r="B261" i="11"/>
  <c r="H262" i="11"/>
  <c r="G261" i="11"/>
  <c r="F262" i="11"/>
  <c r="B262" i="11"/>
  <c r="C263" i="11"/>
  <c r="G262" i="11"/>
  <c r="H263" i="11"/>
  <c r="D262" i="11"/>
  <c r="B263" i="11"/>
  <c r="E262" i="11"/>
  <c r="F264" i="11"/>
  <c r="G263" i="11"/>
  <c r="C262" i="11"/>
  <c r="H264" i="11"/>
  <c r="D263" i="11"/>
  <c r="D264" i="11"/>
  <c r="C264" i="11"/>
  <c r="F263" i="11"/>
  <c r="E263" i="11"/>
  <c r="G264" i="11"/>
  <c r="B264" i="11"/>
  <c r="E264" i="11"/>
  <c r="C265" i="11"/>
  <c r="E265" i="11"/>
  <c r="H265" i="11"/>
  <c r="G265" i="11"/>
  <c r="F265" i="11"/>
  <c r="B265" i="11"/>
  <c r="D265" i="11"/>
  <c r="H266" i="11"/>
  <c r="C266" i="11"/>
  <c r="G266" i="11"/>
  <c r="E266" i="11"/>
  <c r="D266" i="11"/>
  <c r="B266" i="11"/>
  <c r="F266" i="11"/>
  <c r="F267" i="11"/>
  <c r="E267" i="11"/>
  <c r="G267" i="11"/>
  <c r="C267" i="11"/>
  <c r="B267" i="11"/>
  <c r="H267" i="11"/>
  <c r="D267" i="11"/>
  <c r="E268" i="11"/>
  <c r="H268" i="11"/>
  <c r="F268" i="11"/>
  <c r="B268" i="11"/>
  <c r="E269" i="11"/>
  <c r="C268" i="11"/>
  <c r="D268" i="11"/>
  <c r="C269" i="11"/>
  <c r="D269" i="11"/>
  <c r="G268" i="11"/>
  <c r="F269" i="11"/>
  <c r="B269" i="11"/>
  <c r="G269" i="11"/>
  <c r="H269" i="11"/>
  <c r="C270" i="11"/>
  <c r="F270" i="11"/>
  <c r="H270" i="11"/>
  <c r="D270" i="11"/>
  <c r="B270" i="11"/>
  <c r="G271" i="11"/>
  <c r="E270" i="11"/>
  <c r="G270" i="11"/>
  <c r="D271" i="11"/>
  <c r="E271" i="11"/>
  <c r="F271" i="11"/>
  <c r="B271" i="11"/>
  <c r="C271" i="11"/>
  <c r="H271" i="11"/>
  <c r="G272" i="11"/>
  <c r="E272" i="11"/>
  <c r="H272" i="11"/>
  <c r="C272" i="11"/>
  <c r="D272" i="11"/>
  <c r="B272" i="11"/>
  <c r="F272" i="11"/>
  <c r="D273" i="11"/>
  <c r="E273" i="11"/>
  <c r="G273" i="11"/>
  <c r="B273" i="11"/>
  <c r="F273" i="11"/>
  <c r="B274" i="11"/>
  <c r="H275" i="11"/>
  <c r="B275" i="11"/>
  <c r="H273" i="11"/>
  <c r="D276" i="11"/>
  <c r="G275" i="11"/>
  <c r="C273" i="11"/>
  <c r="D275" i="11"/>
  <c r="B276" i="11"/>
  <c r="E274" i="11"/>
  <c r="G274" i="11"/>
  <c r="C275" i="11"/>
  <c r="F276" i="11"/>
  <c r="G277" i="11"/>
  <c r="C274" i="11"/>
  <c r="F274" i="11"/>
  <c r="H276" i="11"/>
  <c r="E277" i="11"/>
  <c r="E276" i="11"/>
  <c r="E275" i="11"/>
  <c r="F275" i="11"/>
  <c r="D274" i="11"/>
  <c r="H274" i="11"/>
  <c r="C276" i="11"/>
  <c r="D277" i="11"/>
  <c r="H277" i="11"/>
  <c r="C277" i="11"/>
  <c r="G276" i="11"/>
  <c r="B277" i="11"/>
  <c r="F277" i="11"/>
  <c r="E278" i="11"/>
  <c r="H278" i="11"/>
  <c r="B278" i="11"/>
  <c r="F278" i="11"/>
  <c r="D278" i="11"/>
  <c r="G278" i="11"/>
  <c r="G279" i="11"/>
  <c r="D279" i="11"/>
  <c r="E279" i="11"/>
  <c r="H279" i="11"/>
  <c r="C278" i="11"/>
  <c r="F279" i="11"/>
  <c r="C279" i="11"/>
  <c r="B279" i="11"/>
  <c r="F280" i="11"/>
  <c r="D280" i="11"/>
  <c r="H280" i="11"/>
  <c r="B280" i="11"/>
  <c r="G280" i="11"/>
  <c r="C280" i="11"/>
  <c r="D281" i="11"/>
  <c r="F281" i="11"/>
  <c r="G281" i="11"/>
  <c r="E280" i="11"/>
  <c r="B281" i="11"/>
  <c r="H281" i="11"/>
  <c r="E281" i="11"/>
  <c r="C281" i="11"/>
  <c r="H282" i="11"/>
  <c r="B282" i="11"/>
  <c r="G283" i="11"/>
  <c r="D283" i="11"/>
  <c r="F283" i="11"/>
  <c r="B283" i="11"/>
  <c r="F282" i="11"/>
  <c r="D282" i="11"/>
  <c r="C283" i="11"/>
  <c r="D284" i="11"/>
  <c r="E284" i="11"/>
  <c r="F284" i="11"/>
  <c r="G284" i="11"/>
  <c r="H283" i="11"/>
  <c r="E282" i="11"/>
  <c r="C284" i="11"/>
  <c r="H284" i="11"/>
  <c r="C282" i="11"/>
  <c r="B284" i="11"/>
  <c r="G282" i="11"/>
  <c r="F285" i="11"/>
  <c r="E283" i="11"/>
  <c r="D285" i="11"/>
  <c r="H285" i="11"/>
  <c r="B285" i="11"/>
  <c r="G286" i="11"/>
  <c r="G285" i="11"/>
  <c r="H286" i="11"/>
  <c r="E285" i="11"/>
  <c r="C285" i="11"/>
  <c r="B286" i="11"/>
  <c r="E286" i="11"/>
  <c r="G287" i="11"/>
  <c r="F286" i="11"/>
  <c r="F287" i="11"/>
  <c r="D286" i="11"/>
  <c r="C286" i="11"/>
  <c r="H287" i="11"/>
  <c r="C287" i="11"/>
  <c r="D287" i="11"/>
  <c r="B287" i="11"/>
  <c r="E287" i="11"/>
  <c r="F288" i="11"/>
  <c r="B288" i="11"/>
  <c r="F289" i="11"/>
  <c r="H288" i="11"/>
  <c r="D288" i="11"/>
  <c r="H289" i="11"/>
  <c r="C288" i="11"/>
  <c r="G288" i="11"/>
  <c r="E289" i="11"/>
  <c r="E288" i="11"/>
  <c r="D289" i="11"/>
  <c r="C289" i="11"/>
  <c r="B289" i="11"/>
  <c r="G289" i="11"/>
  <c r="G290" i="11"/>
  <c r="C290" i="11"/>
  <c r="B290" i="11"/>
  <c r="D290" i="11"/>
  <c r="E290" i="11"/>
  <c r="G291" i="11"/>
  <c r="F291" i="11"/>
  <c r="F290" i="11"/>
  <c r="H290" i="11"/>
  <c r="H291" i="11"/>
  <c r="B291" i="11"/>
  <c r="E291" i="11"/>
  <c r="C292" i="11"/>
  <c r="E292" i="11"/>
  <c r="G292" i="11"/>
  <c r="D291" i="11"/>
  <c r="C291" i="11"/>
  <c r="F292" i="11"/>
  <c r="H292" i="11"/>
  <c r="B292" i="11"/>
  <c r="B293" i="11"/>
  <c r="C293" i="11"/>
  <c r="G293" i="11"/>
  <c r="E294" i="11"/>
  <c r="F294" i="11"/>
  <c r="D293" i="11"/>
  <c r="D292" i="11"/>
  <c r="F293" i="11"/>
  <c r="D294" i="11"/>
  <c r="B294" i="11"/>
  <c r="G294" i="11"/>
  <c r="E293" i="11"/>
  <c r="C294" i="11"/>
  <c r="H295" i="11"/>
  <c r="H294" i="11"/>
  <c r="H293" i="11"/>
  <c r="G295" i="11"/>
  <c r="D295" i="11"/>
  <c r="F295" i="11"/>
  <c r="E295" i="11"/>
  <c r="C295" i="11"/>
  <c r="B295" i="11"/>
  <c r="G296" i="11"/>
  <c r="B296" i="11"/>
  <c r="H297" i="11"/>
  <c r="F297" i="11"/>
  <c r="H296" i="11"/>
  <c r="E297" i="11"/>
  <c r="G297" i="11"/>
  <c r="D296" i="11"/>
  <c r="B297" i="11"/>
  <c r="E296" i="11"/>
  <c r="F296" i="11"/>
  <c r="C298" i="11"/>
  <c r="E298" i="11"/>
  <c r="C297" i="11"/>
  <c r="C296" i="11"/>
  <c r="D298" i="11"/>
  <c r="D297" i="11"/>
  <c r="B298" i="11"/>
  <c r="D299" i="11"/>
  <c r="H299" i="11"/>
  <c r="G299" i="11"/>
  <c r="B299" i="11"/>
  <c r="E299" i="11"/>
  <c r="H298" i="11"/>
  <c r="F298" i="11"/>
  <c r="E300" i="11"/>
  <c r="D300" i="11"/>
  <c r="H300" i="11"/>
  <c r="G298" i="11"/>
  <c r="C299" i="11"/>
  <c r="F299" i="11"/>
  <c r="C300" i="11"/>
  <c r="F300" i="11"/>
  <c r="G300" i="11"/>
  <c r="B300" i="11"/>
  <c r="D301" i="11"/>
  <c r="G301" i="11"/>
  <c r="E301" i="11"/>
  <c r="H301" i="11"/>
  <c r="C301" i="11"/>
  <c r="B301" i="11"/>
  <c r="G302" i="11"/>
  <c r="C302" i="11"/>
  <c r="F301" i="11"/>
  <c r="B302" i="11"/>
  <c r="H302" i="11"/>
  <c r="B303" i="11"/>
  <c r="D304" i="11"/>
  <c r="C304" i="11"/>
  <c r="H303" i="11"/>
  <c r="D302" i="11"/>
  <c r="G304" i="11"/>
  <c r="F302" i="11"/>
  <c r="F304" i="11"/>
  <c r="E302" i="11"/>
  <c r="H304" i="11"/>
  <c r="E304" i="11"/>
  <c r="D303" i="11"/>
  <c r="G303" i="11"/>
  <c r="E303" i="11"/>
  <c r="C303" i="11"/>
  <c r="F303" i="11"/>
  <c r="B304" i="11"/>
  <c r="C305" i="11"/>
  <c r="B305" i="11"/>
  <c r="E305" i="11"/>
  <c r="G305" i="11"/>
  <c r="F306" i="11"/>
  <c r="D305" i="11"/>
  <c r="F305" i="11"/>
  <c r="G306" i="11"/>
  <c r="E306" i="11"/>
  <c r="B306" i="11"/>
  <c r="D306" i="11"/>
  <c r="D307" i="11"/>
  <c r="H305" i="11"/>
  <c r="H306" i="11"/>
  <c r="C306" i="11"/>
  <c r="C307" i="11"/>
  <c r="F307" i="11"/>
  <c r="B307" i="11"/>
  <c r="B308" i="11"/>
  <c r="G308" i="11"/>
  <c r="B309" i="11"/>
  <c r="F310" i="11"/>
  <c r="E310" i="11"/>
  <c r="G310" i="11"/>
  <c r="G309" i="11"/>
  <c r="C308" i="11"/>
  <c r="H307" i="11"/>
  <c r="D309" i="11"/>
  <c r="E308" i="11"/>
  <c r="E307" i="11"/>
  <c r="G307" i="11"/>
  <c r="H308" i="11"/>
  <c r="F309" i="11"/>
  <c r="H309" i="11"/>
  <c r="H310" i="11"/>
  <c r="C309" i="11"/>
  <c r="F308" i="11"/>
  <c r="D310" i="11"/>
  <c r="D308" i="11"/>
  <c r="B310" i="11"/>
  <c r="E309" i="11"/>
  <c r="H311" i="11"/>
  <c r="C310" i="11"/>
  <c r="G311" i="11"/>
  <c r="C311" i="11"/>
  <c r="E311" i="11"/>
  <c r="B311" i="11"/>
  <c r="F311" i="11"/>
  <c r="E312" i="11"/>
  <c r="D311" i="11"/>
  <c r="H312" i="11"/>
  <c r="F312" i="11"/>
  <c r="B312" i="11"/>
  <c r="C313" i="11"/>
  <c r="D312" i="11"/>
  <c r="G312" i="11"/>
  <c r="C312" i="11"/>
  <c r="H313" i="11"/>
  <c r="D313" i="11"/>
  <c r="B313" i="11"/>
  <c r="G313" i="11"/>
  <c r="H314" i="11"/>
  <c r="E314" i="11"/>
  <c r="F313" i="11"/>
  <c r="D314" i="11"/>
  <c r="E313" i="11"/>
  <c r="C314" i="11"/>
  <c r="B314" i="11"/>
  <c r="E315" i="11"/>
  <c r="H315" i="11"/>
  <c r="D315" i="11"/>
  <c r="G315" i="11"/>
  <c r="F314" i="11"/>
  <c r="G314" i="11"/>
  <c r="C315" i="11"/>
  <c r="F315" i="11"/>
  <c r="B315" i="11"/>
  <c r="F316" i="11"/>
  <c r="D316" i="11"/>
  <c r="B316" i="11"/>
  <c r="C317" i="11"/>
  <c r="C316" i="11"/>
  <c r="G316" i="11"/>
  <c r="D317" i="11"/>
  <c r="B317" i="11"/>
  <c r="F317" i="11"/>
  <c r="G318" i="11"/>
  <c r="H316" i="11"/>
  <c r="E316" i="11"/>
  <c r="D318" i="11"/>
  <c r="H317" i="11"/>
  <c r="E317" i="11"/>
  <c r="G317" i="11"/>
  <c r="E318" i="11"/>
  <c r="C318" i="11"/>
  <c r="F318" i="11"/>
  <c r="H318" i="11"/>
  <c r="B318" i="11"/>
  <c r="D319" i="11"/>
  <c r="E319" i="11"/>
  <c r="F319" i="11"/>
  <c r="C319" i="11"/>
  <c r="B319" i="11"/>
  <c r="H319" i="11"/>
  <c r="F320" i="11"/>
  <c r="G319" i="11"/>
  <c r="E320" i="11"/>
  <c r="C320" i="11"/>
  <c r="H320" i="11"/>
  <c r="B320" i="11"/>
  <c r="D320" i="11"/>
  <c r="G320" i="11"/>
  <c r="H321" i="11"/>
  <c r="E321" i="11"/>
  <c r="G321" i="11"/>
  <c r="F321" i="11"/>
  <c r="C321" i="11"/>
  <c r="B321" i="11"/>
  <c r="E322" i="11"/>
  <c r="G322" i="11"/>
  <c r="C322" i="11"/>
  <c r="D321" i="11"/>
  <c r="H322" i="11"/>
  <c r="F322" i="11"/>
  <c r="D322" i="11"/>
  <c r="B322" i="11"/>
  <c r="D323" i="11"/>
  <c r="E323" i="11"/>
  <c r="F323" i="11"/>
  <c r="G323" i="11"/>
  <c r="H323" i="11"/>
  <c r="C323" i="11"/>
  <c r="B323" i="11"/>
  <c r="B324" i="11"/>
  <c r="F324" i="11"/>
  <c r="H325" i="11"/>
  <c r="D324" i="11"/>
  <c r="F325" i="11"/>
  <c r="H324" i="11"/>
  <c r="C325" i="11"/>
  <c r="G325" i="11"/>
  <c r="E324" i="11"/>
  <c r="E325" i="11"/>
  <c r="D325" i="11"/>
  <c r="G324" i="11"/>
  <c r="B325" i="11"/>
  <c r="C324" i="11"/>
  <c r="G326" i="11"/>
  <c r="E326" i="11"/>
  <c r="D326" i="11"/>
  <c r="B326" i="11"/>
  <c r="C327" i="11"/>
  <c r="E327" i="11"/>
  <c r="H326" i="11"/>
  <c r="H327" i="11"/>
  <c r="D327" i="11"/>
  <c r="F326" i="11"/>
  <c r="C326" i="11"/>
  <c r="B327" i="11"/>
  <c r="F328" i="11"/>
  <c r="B328" i="11"/>
  <c r="F327" i="11"/>
  <c r="E329" i="11"/>
  <c r="C329" i="11"/>
  <c r="G327" i="11"/>
  <c r="G329" i="11"/>
  <c r="H329" i="11"/>
  <c r="D328" i="11"/>
  <c r="B329" i="11"/>
  <c r="F330" i="11"/>
  <c r="C328" i="11"/>
  <c r="G328" i="11"/>
  <c r="D330" i="11"/>
  <c r="E328" i="11"/>
  <c r="F329" i="11"/>
  <c r="G330" i="11"/>
  <c r="H330" i="11"/>
  <c r="D329" i="11"/>
  <c r="H328" i="11"/>
  <c r="C330" i="11"/>
  <c r="B330" i="11"/>
  <c r="E330" i="11"/>
  <c r="D331" i="11"/>
  <c r="G331" i="11"/>
  <c r="F331" i="11"/>
  <c r="C331" i="11"/>
  <c r="E331" i="11"/>
  <c r="H331" i="11"/>
  <c r="B331" i="11"/>
  <c r="H332" i="11"/>
  <c r="G332" i="11"/>
  <c r="B332" i="11"/>
  <c r="B333" i="11"/>
  <c r="H334" i="11"/>
  <c r="D333" i="11"/>
  <c r="F334" i="11"/>
  <c r="D334" i="11"/>
  <c r="G333" i="11"/>
  <c r="D332" i="11"/>
  <c r="F332" i="11"/>
  <c r="E332" i="11"/>
  <c r="C333" i="11"/>
  <c r="G334" i="11"/>
  <c r="B334" i="11"/>
  <c r="E333" i="11"/>
  <c r="C332" i="11"/>
  <c r="E335" i="11"/>
  <c r="C334" i="11"/>
  <c r="F333" i="11"/>
  <c r="E334" i="11"/>
  <c r="D335" i="11"/>
  <c r="H335" i="11"/>
  <c r="H333" i="11"/>
  <c r="G335" i="11"/>
  <c r="F335" i="11"/>
  <c r="B335" i="11"/>
  <c r="C336" i="11"/>
  <c r="H336" i="11"/>
  <c r="F336" i="11"/>
  <c r="D336" i="11"/>
  <c r="C335" i="11"/>
  <c r="B336" i="11"/>
  <c r="G336" i="11"/>
  <c r="C337" i="11"/>
  <c r="E336" i="11"/>
  <c r="D337" i="11"/>
  <c r="F337" i="11"/>
  <c r="G337" i="11"/>
  <c r="H337" i="11"/>
  <c r="E337" i="11"/>
  <c r="B337" i="11"/>
  <c r="E338" i="11"/>
  <c r="H338" i="11"/>
  <c r="B338" i="11"/>
  <c r="D339" i="11"/>
  <c r="D338" i="11"/>
  <c r="C338" i="11"/>
  <c r="G338" i="11"/>
  <c r="F338" i="11"/>
  <c r="C339" i="11"/>
  <c r="B339" i="11"/>
  <c r="E339" i="11"/>
  <c r="H340" i="11"/>
  <c r="G339" i="11"/>
  <c r="H339" i="11"/>
  <c r="F339" i="11"/>
  <c r="D340" i="11"/>
  <c r="E340" i="11"/>
  <c r="B340" i="11"/>
  <c r="F340" i="11"/>
  <c r="H341" i="11"/>
  <c r="G340" i="11"/>
  <c r="C340" i="11"/>
  <c r="E341" i="11"/>
  <c r="B341" i="11"/>
  <c r="D341" i="11"/>
  <c r="H342" i="11"/>
  <c r="F341" i="11"/>
  <c r="B342" i="11"/>
  <c r="F342" i="11"/>
  <c r="C343" i="11"/>
  <c r="C341" i="11"/>
  <c r="G341" i="11"/>
  <c r="F343" i="11"/>
  <c r="G342" i="11"/>
  <c r="C342" i="11"/>
  <c r="D343" i="11"/>
  <c r="B343" i="11"/>
  <c r="D342" i="11"/>
  <c r="E342" i="11"/>
  <c r="C344" i="11"/>
  <c r="H343" i="11"/>
  <c r="E344" i="11"/>
  <c r="G343" i="11"/>
  <c r="D344" i="11"/>
  <c r="H344" i="11"/>
  <c r="E343" i="11"/>
  <c r="B344" i="11"/>
  <c r="E345" i="11"/>
  <c r="F344" i="11"/>
  <c r="G344" i="11"/>
  <c r="F345" i="11"/>
  <c r="H345" i="11"/>
  <c r="B345" i="11"/>
  <c r="C346" i="11"/>
  <c r="C345" i="11"/>
  <c r="H346" i="11"/>
  <c r="G345" i="11"/>
  <c r="D345" i="11"/>
  <c r="D346" i="11"/>
  <c r="F346" i="11"/>
  <c r="E346" i="11"/>
  <c r="B346" i="11"/>
  <c r="G346" i="11"/>
  <c r="F347" i="11"/>
  <c r="E347" i="11"/>
  <c r="D347" i="11"/>
  <c r="C347" i="11"/>
  <c r="H347" i="11"/>
  <c r="B347" i="11"/>
  <c r="G347" i="11"/>
  <c r="D348" i="11"/>
  <c r="G348" i="11"/>
  <c r="C348" i="11"/>
  <c r="B348" i="11"/>
  <c r="F348" i="11"/>
  <c r="H348" i="11"/>
  <c r="E348" i="11"/>
  <c r="H349" i="11"/>
  <c r="G349" i="11"/>
  <c r="D349" i="11"/>
  <c r="F349" i="11"/>
  <c r="B349" i="11"/>
  <c r="E349" i="11"/>
  <c r="G350" i="11"/>
  <c r="D350" i="11"/>
  <c r="C349" i="11"/>
  <c r="E350" i="11"/>
  <c r="F350" i="11"/>
  <c r="C350" i="11"/>
  <c r="H350" i="11"/>
  <c r="B350" i="11"/>
  <c r="F351" i="11"/>
  <c r="C351" i="11"/>
  <c r="E351" i="11"/>
  <c r="G351" i="11"/>
  <c r="B351" i="11"/>
  <c r="H351" i="11"/>
  <c r="D351" i="11"/>
  <c r="C352" i="11"/>
  <c r="B352" i="11"/>
  <c r="F352" i="11"/>
  <c r="H353" i="11"/>
  <c r="D353" i="11"/>
  <c r="E352" i="11"/>
  <c r="H352" i="11"/>
  <c r="D352" i="11"/>
  <c r="F353" i="11"/>
  <c r="C353" i="11"/>
  <c r="G352" i="11"/>
  <c r="E353" i="11"/>
  <c r="G353" i="11"/>
  <c r="B353" i="11"/>
  <c r="C354" i="11"/>
  <c r="B354" i="11"/>
  <c r="D355" i="11"/>
  <c r="G355" i="11"/>
  <c r="F355" i="11"/>
  <c r="G354" i="11"/>
  <c r="E354" i="11"/>
  <c r="D354" i="11"/>
  <c r="H354" i="11"/>
  <c r="H355" i="11"/>
  <c r="B355" i="11"/>
  <c r="E355" i="11"/>
  <c r="F354" i="11"/>
  <c r="F356" i="11"/>
  <c r="H356" i="11"/>
  <c r="D356" i="11"/>
  <c r="C355" i="11"/>
  <c r="G356" i="11"/>
  <c r="B356" i="11"/>
  <c r="C356" i="11"/>
  <c r="C357" i="11"/>
  <c r="H357" i="11"/>
  <c r="E356" i="11"/>
  <c r="F357" i="11"/>
  <c r="G357" i="11"/>
  <c r="D357" i="11"/>
  <c r="B357" i="11"/>
  <c r="E357" i="11"/>
  <c r="D358" i="11"/>
  <c r="F358" i="11"/>
  <c r="E358" i="11"/>
  <c r="C358" i="11"/>
  <c r="B358" i="11"/>
  <c r="H358" i="11"/>
  <c r="B359" i="11"/>
  <c r="E360" i="11"/>
  <c r="D360" i="11"/>
  <c r="E359" i="11"/>
  <c r="H359" i="11"/>
  <c r="G358" i="11"/>
  <c r="F360" i="11"/>
  <c r="B360" i="11"/>
  <c r="C361" i="11"/>
  <c r="D359" i="11"/>
  <c r="F359" i="11"/>
  <c r="G360" i="11"/>
  <c r="H360" i="11"/>
  <c r="E361" i="11"/>
  <c r="C359" i="11"/>
  <c r="H361" i="11"/>
  <c r="C360" i="11"/>
  <c r="G359" i="11"/>
  <c r="F361" i="11"/>
  <c r="B361" i="11"/>
  <c r="D361" i="11"/>
  <c r="C362" i="11"/>
  <c r="G361" i="11"/>
  <c r="E362" i="11"/>
  <c r="D362" i="11"/>
  <c r="F362" i="11"/>
  <c r="H362" i="11"/>
  <c r="B362" i="11"/>
  <c r="H363" i="11"/>
  <c r="G362" i="11"/>
  <c r="D363" i="11"/>
  <c r="E363" i="11"/>
  <c r="C363" i="11"/>
  <c r="F363" i="11"/>
  <c r="B363" i="11"/>
  <c r="E364" i="11"/>
  <c r="G363" i="11"/>
  <c r="C364" i="11"/>
  <c r="D364" i="11"/>
  <c r="H364" i="11"/>
  <c r="G364" i="11"/>
  <c r="B364" i="11"/>
  <c r="F364" i="11"/>
  <c r="H365" i="11"/>
  <c r="D365" i="11"/>
  <c r="G365" i="11"/>
  <c r="E365" i="11"/>
  <c r="B365" i="11"/>
  <c r="C365" i="11"/>
  <c r="D366" i="11"/>
  <c r="C366" i="11"/>
  <c r="F365" i="11"/>
  <c r="G366" i="11"/>
  <c r="E366" i="11"/>
  <c r="B366" i="11"/>
  <c r="H367" i="11"/>
  <c r="H366" i="11"/>
  <c r="D367" i="11"/>
  <c r="F366" i="11"/>
  <c r="F367" i="11"/>
  <c r="C367" i="11"/>
  <c r="E367" i="11"/>
  <c r="B367" i="11"/>
  <c r="D368" i="11"/>
  <c r="G367" i="11"/>
  <c r="C368" i="11"/>
  <c r="G368" i="11"/>
  <c r="H368" i="11"/>
  <c r="F368" i="11"/>
  <c r="E368" i="11"/>
  <c r="B368" i="11"/>
  <c r="C369" i="11"/>
  <c r="H369" i="11"/>
  <c r="B369" i="11"/>
  <c r="D369" i="11"/>
  <c r="E369" i="11"/>
  <c r="F369" i="11"/>
  <c r="G370" i="11"/>
  <c r="H370" i="11"/>
  <c r="G369" i="11"/>
  <c r="B370" i="11"/>
  <c r="F371" i="11"/>
  <c r="C370" i="11"/>
  <c r="C371" i="11"/>
  <c r="B371" i="11"/>
  <c r="F370" i="11"/>
  <c r="B372" i="11"/>
  <c r="D372" i="11"/>
  <c r="D370" i="11"/>
  <c r="E370" i="11"/>
  <c r="G371" i="11"/>
  <c r="G373" i="11"/>
  <c r="F373" i="11"/>
  <c r="G372" i="11"/>
  <c r="C372" i="11"/>
  <c r="F372" i="11"/>
  <c r="H373" i="11"/>
  <c r="D373" i="11"/>
  <c r="C373" i="11"/>
  <c r="D371" i="11"/>
  <c r="H372" i="11"/>
  <c r="E371" i="11"/>
  <c r="H371" i="11"/>
  <c r="E372" i="11"/>
  <c r="B373" i="11"/>
  <c r="H374" i="11"/>
  <c r="E373" i="11"/>
  <c r="C374" i="11"/>
  <c r="D374" i="11"/>
  <c r="E374" i="11"/>
  <c r="B374" i="11"/>
  <c r="G374" i="11"/>
  <c r="G375" i="11"/>
  <c r="E375" i="11"/>
  <c r="F374" i="11"/>
  <c r="H375" i="11"/>
  <c r="B375" i="11"/>
  <c r="D375" i="11"/>
  <c r="G376" i="11"/>
  <c r="C375" i="11"/>
  <c r="F376" i="11"/>
  <c r="C376" i="11"/>
  <c r="D376" i="11"/>
  <c r="F375" i="11"/>
  <c r="B376" i="11"/>
  <c r="F377" i="11"/>
  <c r="E376" i="11"/>
  <c r="H376" i="11"/>
  <c r="H377" i="11"/>
  <c r="G377" i="11"/>
  <c r="C377" i="11"/>
  <c r="D377" i="11"/>
  <c r="B377" i="11"/>
  <c r="B378" i="11"/>
  <c r="E377" i="11"/>
  <c r="F378" i="11"/>
  <c r="D379" i="11"/>
  <c r="B379" i="11"/>
  <c r="H379" i="11"/>
  <c r="F379" i="11"/>
  <c r="C379" i="11"/>
  <c r="E378" i="11"/>
  <c r="C378" i="11"/>
  <c r="H378" i="11"/>
  <c r="G378" i="11"/>
  <c r="E380" i="11"/>
  <c r="D380" i="11"/>
  <c r="H380" i="11"/>
  <c r="D378" i="11"/>
  <c r="E379" i="11"/>
  <c r="B380" i="11"/>
  <c r="C380" i="11"/>
  <c r="F380" i="11"/>
  <c r="G379" i="11"/>
  <c r="C381" i="11"/>
  <c r="G381" i="11"/>
  <c r="H381" i="11"/>
  <c r="G380" i="11"/>
  <c r="F381" i="11"/>
  <c r="B381" i="11"/>
  <c r="D382" i="11"/>
  <c r="D381" i="11"/>
  <c r="E381" i="11"/>
  <c r="F382" i="11"/>
  <c r="B382" i="11"/>
  <c r="C382" i="11"/>
  <c r="G382" i="11"/>
  <c r="E382" i="11"/>
  <c r="H382" i="11"/>
  <c r="G383" i="11"/>
  <c r="D383" i="11"/>
  <c r="C383" i="11"/>
  <c r="F383" i="11"/>
  <c r="B383" i="11"/>
  <c r="B384" i="11"/>
  <c r="E384" i="11"/>
  <c r="H384" i="11"/>
  <c r="D384" i="11"/>
  <c r="E383" i="11"/>
  <c r="H383" i="11"/>
  <c r="F385" i="11"/>
  <c r="C384" i="11"/>
  <c r="D385" i="11"/>
  <c r="C385" i="11"/>
  <c r="G384" i="11"/>
  <c r="H385" i="11"/>
  <c r="G385" i="11"/>
  <c r="B385" i="11"/>
  <c r="E385" i="11"/>
  <c r="B386" i="11"/>
  <c r="F384" i="11"/>
  <c r="D386" i="11"/>
  <c r="C386" i="11"/>
  <c r="E386" i="11"/>
  <c r="H386" i="11"/>
  <c r="B387" i="11"/>
  <c r="D387" i="11"/>
  <c r="H387" i="11"/>
  <c r="G388" i="11"/>
  <c r="G386" i="11"/>
  <c r="G387" i="11"/>
  <c r="B388" i="11"/>
  <c r="D388" i="11"/>
  <c r="F388" i="11"/>
  <c r="F386" i="11"/>
  <c r="F387" i="11"/>
  <c r="E387" i="11"/>
  <c r="E389" i="11"/>
  <c r="D389" i="11"/>
  <c r="B389" i="11"/>
  <c r="E388" i="11"/>
  <c r="C387" i="11"/>
  <c r="H388" i="11"/>
  <c r="H390" i="11"/>
  <c r="D390" i="11"/>
  <c r="G390" i="11"/>
  <c r="C389" i="11"/>
  <c r="F389" i="11"/>
  <c r="C388" i="11"/>
  <c r="B390" i="11"/>
  <c r="D391" i="11"/>
  <c r="G391" i="11"/>
  <c r="G389" i="11"/>
  <c r="H389" i="11"/>
  <c r="B391" i="11"/>
  <c r="E391" i="11"/>
  <c r="G392" i="11"/>
  <c r="H391" i="11"/>
  <c r="C391" i="11"/>
  <c r="F390" i="11"/>
  <c r="C390" i="11"/>
  <c r="H392" i="11"/>
  <c r="F391" i="11"/>
  <c r="D392" i="11"/>
  <c r="E390" i="11"/>
  <c r="B392" i="11"/>
  <c r="C393" i="11"/>
  <c r="D393" i="11"/>
  <c r="E393" i="11"/>
  <c r="F392" i="11"/>
  <c r="E392" i="11"/>
  <c r="C392" i="11"/>
  <c r="F393" i="11"/>
  <c r="B393" i="11"/>
  <c r="C394" i="11"/>
  <c r="H394" i="11"/>
  <c r="H393" i="11"/>
  <c r="G393" i="11"/>
  <c r="B394" i="11"/>
  <c r="B395" i="11"/>
  <c r="G396" i="11"/>
  <c r="D396" i="11"/>
  <c r="E394" i="11"/>
  <c r="D395" i="11"/>
  <c r="D394" i="11"/>
  <c r="F396" i="11"/>
  <c r="G394" i="11"/>
  <c r="F395" i="11"/>
  <c r="F394" i="11"/>
  <c r="E395" i="11"/>
  <c r="H395" i="11"/>
  <c r="H396" i="11"/>
  <c r="B396" i="11"/>
  <c r="G395" i="11"/>
  <c r="C395" i="11"/>
  <c r="C396" i="11"/>
  <c r="E396" i="11"/>
  <c r="H397" i="11"/>
  <c r="G397" i="11"/>
  <c r="D397" i="11"/>
  <c r="C397" i="11"/>
  <c r="F397" i="11"/>
  <c r="E397" i="11"/>
  <c r="B397" i="11"/>
  <c r="E398" i="11"/>
  <c r="B398" i="11"/>
  <c r="G399" i="11"/>
  <c r="G398" i="11"/>
  <c r="C399" i="11"/>
  <c r="B399" i="11"/>
  <c r="H398" i="11"/>
  <c r="F399" i="11"/>
  <c r="D399" i="11"/>
  <c r="B400" i="11"/>
  <c r="E399" i="11"/>
  <c r="D398" i="11"/>
  <c r="H399" i="11"/>
  <c r="E401" i="11"/>
  <c r="G401" i="11"/>
  <c r="E400" i="11"/>
  <c r="G400" i="11"/>
  <c r="C398" i="11"/>
  <c r="F398" i="11"/>
  <c r="F400" i="11"/>
  <c r="F401" i="11"/>
  <c r="H400" i="11"/>
  <c r="B401" i="11"/>
  <c r="D400" i="11"/>
  <c r="D401" i="11"/>
  <c r="C401" i="11"/>
  <c r="D402" i="11"/>
  <c r="C400" i="11"/>
  <c r="F402" i="11"/>
  <c r="H401" i="11"/>
  <c r="B402" i="11"/>
  <c r="G402" i="11"/>
  <c r="H402" i="11"/>
  <c r="C402" i="11"/>
  <c r="E402" i="11"/>
  <c r="B403" i="11"/>
  <c r="B404" i="11"/>
  <c r="E405" i="11"/>
  <c r="C404" i="11"/>
  <c r="C405" i="11"/>
  <c r="G404" i="11"/>
  <c r="D405" i="11"/>
  <c r="E403" i="11"/>
  <c r="E404" i="11"/>
  <c r="G405" i="11"/>
  <c r="H403" i="11"/>
  <c r="C403" i="11"/>
  <c r="H405" i="11"/>
  <c r="G403" i="11"/>
  <c r="D404" i="11"/>
  <c r="B405" i="11"/>
  <c r="D403" i="11"/>
  <c r="F404" i="11"/>
  <c r="F405" i="11"/>
  <c r="F403" i="11"/>
  <c r="H404" i="11"/>
  <c r="C406" i="11"/>
  <c r="D406" i="11"/>
  <c r="H406" i="11"/>
  <c r="G406" i="11"/>
  <c r="E406" i="11"/>
  <c r="B406" i="11"/>
  <c r="F406" i="11"/>
  <c r="D407" i="11"/>
  <c r="G407" i="11"/>
  <c r="H407" i="11"/>
  <c r="E407" i="11"/>
  <c r="B407" i="11"/>
  <c r="B408" i="11"/>
  <c r="C407" i="11"/>
  <c r="F407" i="11"/>
  <c r="F408" i="11"/>
  <c r="E408" i="11"/>
  <c r="B409" i="11"/>
  <c r="F410" i="11"/>
  <c r="H410" i="11"/>
  <c r="D408" i="11"/>
  <c r="H409" i="11"/>
  <c r="D409" i="11"/>
  <c r="C408" i="11"/>
  <c r="H408" i="11"/>
  <c r="D410" i="11"/>
  <c r="G408" i="11"/>
  <c r="E409" i="11"/>
  <c r="F409" i="11"/>
  <c r="C409" i="11"/>
  <c r="G409" i="11"/>
  <c r="C410" i="11"/>
  <c r="B410" i="11"/>
  <c r="G410" i="11"/>
  <c r="G411" i="11"/>
  <c r="D411" i="11"/>
  <c r="E410" i="11"/>
  <c r="H411" i="11"/>
  <c r="F411" i="11"/>
  <c r="E411" i="11"/>
  <c r="B411" i="11"/>
  <c r="C411" i="11"/>
  <c r="C412" i="11"/>
  <c r="D412" i="11"/>
  <c r="F412" i="11"/>
  <c r="B412" i="11"/>
  <c r="B413" i="11"/>
  <c r="E412" i="11"/>
  <c r="H412" i="11"/>
  <c r="G412" i="11"/>
  <c r="C413" i="11"/>
  <c r="B414" i="11"/>
  <c r="H413" i="11"/>
  <c r="H414" i="11"/>
  <c r="C414" i="11"/>
  <c r="E413" i="11"/>
  <c r="D414" i="11"/>
  <c r="F414" i="11"/>
  <c r="D413" i="11"/>
  <c r="G414" i="11"/>
  <c r="G413" i="11"/>
  <c r="H415" i="11"/>
  <c r="F413" i="11"/>
  <c r="E414" i="11"/>
  <c r="D415" i="11"/>
  <c r="G415" i="11"/>
  <c r="B415" i="11"/>
  <c r="E415" i="11"/>
  <c r="C415" i="11"/>
  <c r="F415" i="11"/>
  <c r="D416" i="11"/>
  <c r="C416" i="11"/>
  <c r="E416" i="11"/>
  <c r="H416" i="11"/>
  <c r="B416" i="11"/>
  <c r="D417" i="11"/>
  <c r="G416" i="11"/>
  <c r="F416" i="11"/>
  <c r="F417" i="11"/>
  <c r="C417" i="11"/>
  <c r="G417" i="11"/>
  <c r="E417" i="11"/>
  <c r="H417" i="11"/>
  <c r="B417" i="11"/>
  <c r="C418" i="11"/>
  <c r="F418" i="11"/>
  <c r="H418" i="11"/>
  <c r="B418" i="11"/>
  <c r="C419" i="11"/>
  <c r="G418" i="11"/>
  <c r="D418" i="11"/>
  <c r="B419" i="11"/>
  <c r="H419" i="11"/>
  <c r="B420" i="11"/>
  <c r="E419" i="11"/>
  <c r="E421" i="11"/>
  <c r="C421" i="11"/>
  <c r="B421" i="11"/>
  <c r="F419" i="11"/>
  <c r="E418" i="11"/>
  <c r="D420" i="11"/>
  <c r="D419" i="11"/>
  <c r="F420" i="11"/>
  <c r="F422" i="11"/>
  <c r="H420" i="11"/>
  <c r="G419" i="11"/>
  <c r="E420" i="11"/>
  <c r="E422" i="11"/>
  <c r="G421" i="11"/>
  <c r="F421" i="11"/>
  <c r="C420" i="11"/>
  <c r="G420" i="11"/>
  <c r="D421" i="11"/>
  <c r="D422" i="11"/>
  <c r="C422" i="11"/>
  <c r="G422" i="11"/>
  <c r="H421" i="11"/>
  <c r="H422" i="11"/>
  <c r="B422" i="11"/>
  <c r="F423" i="11"/>
  <c r="G423" i="11"/>
  <c r="E423" i="11"/>
  <c r="B423" i="11"/>
  <c r="C424" i="11"/>
  <c r="D424" i="11"/>
  <c r="H423" i="11"/>
  <c r="G424" i="11"/>
  <c r="F424" i="11"/>
  <c r="C423" i="11"/>
  <c r="D423" i="11"/>
  <c r="H424" i="11"/>
  <c r="E424" i="11"/>
  <c r="B424" i="11"/>
  <c r="H425" i="11"/>
  <c r="B425" i="11"/>
  <c r="E426" i="11"/>
  <c r="E425" i="11"/>
  <c r="G426" i="11"/>
  <c r="D425" i="11"/>
  <c r="F425" i="11"/>
  <c r="B426" i="11"/>
  <c r="E427" i="11"/>
  <c r="C425" i="11"/>
  <c r="F426" i="11"/>
  <c r="C427" i="11"/>
  <c r="H426" i="11"/>
  <c r="G425" i="11"/>
  <c r="G427" i="11"/>
  <c r="D426" i="11"/>
  <c r="B427" i="11"/>
  <c r="C426" i="11"/>
  <c r="H427" i="11"/>
  <c r="E428" i="11"/>
  <c r="H428" i="11"/>
  <c r="F427" i="11"/>
  <c r="B428" i="11"/>
  <c r="C429" i="11"/>
  <c r="F428" i="11"/>
  <c r="D427" i="11"/>
  <c r="G428" i="11"/>
  <c r="D428" i="11"/>
  <c r="E429" i="11"/>
  <c r="D429" i="11"/>
  <c r="C428" i="11"/>
  <c r="B429" i="11"/>
  <c r="G430" i="11"/>
  <c r="E430" i="11"/>
  <c r="H429" i="11"/>
  <c r="F429" i="11"/>
  <c r="G429" i="11"/>
  <c r="B430" i="11"/>
  <c r="B431" i="11"/>
  <c r="E432" i="11"/>
  <c r="F431" i="11"/>
  <c r="D430" i="11"/>
  <c r="H430" i="11"/>
  <c r="H431" i="11"/>
  <c r="D432" i="11"/>
  <c r="D431" i="11"/>
  <c r="F430" i="11"/>
  <c r="C430" i="11"/>
  <c r="F432" i="11"/>
  <c r="C431" i="11"/>
  <c r="C432" i="11"/>
  <c r="G431" i="11"/>
  <c r="G432" i="11"/>
  <c r="H432" i="11"/>
  <c r="E431" i="11"/>
  <c r="B432" i="11"/>
  <c r="G433" i="11"/>
  <c r="F433" i="11"/>
  <c r="B433" i="11"/>
  <c r="E434" i="11"/>
  <c r="F434" i="11"/>
  <c r="H433" i="11"/>
  <c r="D433" i="11"/>
  <c r="C433" i="11"/>
  <c r="H434" i="11"/>
  <c r="D434" i="11"/>
  <c r="G434" i="11"/>
  <c r="B434" i="11"/>
  <c r="E433" i="11"/>
  <c r="D435" i="11"/>
  <c r="C435" i="11"/>
  <c r="E435" i="11"/>
  <c r="C434" i="11"/>
  <c r="H435" i="11"/>
  <c r="F435" i="11"/>
  <c r="G435" i="11"/>
  <c r="B435" i="11"/>
  <c r="D436" i="11"/>
  <c r="B436" i="11"/>
  <c r="E437" i="11"/>
  <c r="C437" i="11"/>
  <c r="F436" i="11"/>
  <c r="H436" i="11"/>
  <c r="G437" i="11"/>
  <c r="G436" i="11"/>
  <c r="B437" i="11"/>
  <c r="E438" i="11"/>
  <c r="D437" i="11"/>
  <c r="E436" i="11"/>
  <c r="F437" i="11"/>
  <c r="C436" i="11"/>
  <c r="D438" i="11"/>
  <c r="G438" i="11"/>
  <c r="C438" i="11"/>
  <c r="H437" i="11"/>
  <c r="F438" i="11"/>
  <c r="B438" i="11"/>
  <c r="H438" i="11"/>
  <c r="G439" i="11"/>
  <c r="D439" i="11"/>
  <c r="E439" i="11"/>
  <c r="B439" i="11"/>
  <c r="H439" i="11"/>
  <c r="G440" i="11"/>
  <c r="F439" i="11"/>
  <c r="C439" i="11"/>
  <c r="C440" i="11"/>
  <c r="D440" i="11"/>
  <c r="H440" i="11"/>
  <c r="E440" i="11"/>
  <c r="F440" i="11"/>
  <c r="B440" i="11"/>
  <c r="D441" i="11"/>
  <c r="B441" i="11"/>
  <c r="F441" i="11"/>
  <c r="E441" i="11"/>
  <c r="G442" i="11"/>
  <c r="C441" i="11"/>
  <c r="G441" i="11"/>
  <c r="H441" i="11"/>
  <c r="D442" i="11"/>
  <c r="B442" i="11"/>
  <c r="E442" i="11"/>
  <c r="H443" i="11"/>
  <c r="F442" i="11"/>
  <c r="C442" i="11"/>
  <c r="H442" i="11"/>
  <c r="D443" i="11"/>
  <c r="B443" i="11"/>
  <c r="C443" i="11"/>
  <c r="D444" i="11"/>
  <c r="C444" i="11"/>
  <c r="E443" i="11"/>
  <c r="H444" i="11"/>
  <c r="F443" i="11"/>
  <c r="G443" i="11"/>
  <c r="B444" i="11"/>
  <c r="E444" i="11"/>
  <c r="C445" i="11"/>
  <c r="D445" i="11"/>
  <c r="G444" i="11"/>
  <c r="F444" i="11"/>
  <c r="E445" i="11"/>
  <c r="B445" i="11"/>
  <c r="G445" i="11"/>
  <c r="E446" i="11"/>
  <c r="D446" i="11"/>
  <c r="F445" i="11"/>
  <c r="F446" i="11"/>
  <c r="H445" i="11"/>
  <c r="G446" i="11"/>
  <c r="H446" i="11"/>
  <c r="C446" i="11"/>
  <c r="B446" i="11"/>
  <c r="D447" i="11"/>
  <c r="G447" i="11"/>
  <c r="F447" i="11"/>
  <c r="H447" i="11"/>
  <c r="E447" i="11"/>
  <c r="C447" i="11"/>
  <c r="B447" i="11"/>
  <c r="D448" i="11"/>
  <c r="C448" i="11"/>
  <c r="H448" i="11"/>
  <c r="G448" i="11"/>
  <c r="E448" i="11"/>
  <c r="F448" i="11"/>
  <c r="B448" i="11"/>
  <c r="B449" i="11"/>
  <c r="G450" i="11"/>
  <c r="C450" i="11"/>
  <c r="E449" i="11"/>
  <c r="G449" i="11"/>
  <c r="D450" i="11"/>
  <c r="C449" i="11"/>
  <c r="F450" i="11"/>
  <c r="F449" i="11"/>
  <c r="H449" i="11"/>
  <c r="D449" i="11"/>
  <c r="H450" i="11"/>
  <c r="B450" i="11"/>
  <c r="C451" i="11"/>
  <c r="E450" i="11"/>
  <c r="G451" i="11"/>
  <c r="D451" i="11"/>
  <c r="H451" i="11"/>
  <c r="F451" i="11"/>
  <c r="E451" i="11"/>
  <c r="B451" i="11"/>
  <c r="E452" i="11"/>
  <c r="G452" i="11"/>
  <c r="C452" i="11"/>
  <c r="H452" i="11"/>
  <c r="B452" i="11"/>
  <c r="F452" i="11"/>
  <c r="E453" i="11"/>
  <c r="D452" i="11"/>
  <c r="G453" i="11"/>
  <c r="D453" i="11"/>
  <c r="F453" i="11"/>
  <c r="B453" i="11"/>
  <c r="G454" i="11"/>
  <c r="H453" i="11"/>
  <c r="H454" i="11"/>
  <c r="C453" i="11"/>
  <c r="F454" i="11"/>
  <c r="E454" i="11"/>
  <c r="D454" i="11"/>
  <c r="C454" i="11"/>
  <c r="B454" i="11"/>
  <c r="H455" i="11"/>
  <c r="G455" i="11"/>
  <c r="D455" i="11"/>
  <c r="C455" i="11"/>
  <c r="B455" i="11"/>
  <c r="E456" i="11"/>
  <c r="F455" i="11"/>
  <c r="E455" i="11"/>
  <c r="D456" i="11"/>
  <c r="C456" i="11"/>
  <c r="H456" i="11"/>
  <c r="G456" i="11"/>
  <c r="B456" i="11"/>
  <c r="F456" i="11"/>
  <c r="G457" i="11"/>
  <c r="H457" i="11"/>
  <c r="E457" i="11"/>
  <c r="B457" i="11"/>
  <c r="H458" i="11"/>
  <c r="D458" i="11"/>
  <c r="F457" i="11"/>
  <c r="C457" i="11"/>
  <c r="G458" i="11"/>
  <c r="D457" i="11"/>
  <c r="B458" i="11"/>
  <c r="G459" i="11"/>
  <c r="H459" i="11"/>
  <c r="F458" i="11"/>
  <c r="F459" i="11"/>
  <c r="C458" i="11"/>
  <c r="E459" i="11"/>
  <c r="E458" i="11"/>
  <c r="B459" i="11"/>
  <c r="B460" i="11"/>
  <c r="D459" i="11"/>
  <c r="C460" i="11"/>
  <c r="B461" i="11"/>
  <c r="E462" i="11"/>
  <c r="C462" i="11"/>
  <c r="G461" i="11"/>
  <c r="H460" i="11"/>
  <c r="H461" i="11"/>
  <c r="E460" i="11"/>
  <c r="G460" i="11"/>
  <c r="C459" i="11"/>
  <c r="H462" i="11"/>
  <c r="E461" i="11"/>
  <c r="D462" i="11"/>
  <c r="F461" i="11"/>
  <c r="D460" i="11"/>
  <c r="B462" i="11"/>
  <c r="F460" i="11"/>
  <c r="C461" i="11"/>
  <c r="G462" i="11"/>
  <c r="D461" i="11"/>
  <c r="F462" i="11"/>
  <c r="H463" i="11"/>
  <c r="F463" i="11"/>
  <c r="C463" i="11"/>
  <c r="B463" i="11"/>
  <c r="F464" i="11"/>
  <c r="D464" i="11"/>
  <c r="D463" i="11"/>
  <c r="G463" i="11"/>
  <c r="E463" i="11"/>
  <c r="B464" i="11"/>
  <c r="F465" i="11"/>
  <c r="C464" i="11"/>
  <c r="G465" i="11"/>
  <c r="H464" i="11"/>
  <c r="E465" i="11"/>
  <c r="G464" i="11"/>
  <c r="E464" i="11"/>
  <c r="H465" i="11"/>
  <c r="C465" i="11"/>
  <c r="B465" i="11"/>
  <c r="B466" i="11"/>
  <c r="D465" i="11"/>
  <c r="G466" i="11"/>
  <c r="B467" i="11"/>
  <c r="E468" i="11"/>
  <c r="E467" i="11"/>
  <c r="C467" i="11"/>
  <c r="F466" i="11"/>
  <c r="G468" i="11"/>
  <c r="H468" i="11"/>
  <c r="F467" i="11"/>
  <c r="C466" i="11"/>
  <c r="D466" i="11"/>
  <c r="G467" i="11"/>
  <c r="B468" i="11"/>
  <c r="D467" i="11"/>
  <c r="H466" i="11"/>
  <c r="D468" i="11"/>
  <c r="B469" i="11"/>
  <c r="F470" i="11"/>
  <c r="G469" i="11"/>
  <c r="C468" i="11"/>
  <c r="E466" i="11"/>
  <c r="H467" i="11"/>
  <c r="F468" i="11"/>
  <c r="E469" i="11"/>
  <c r="H470" i="11"/>
  <c r="D469" i="11"/>
  <c r="D470" i="11"/>
  <c r="F469" i="11"/>
  <c r="E470" i="11"/>
  <c r="B470" i="11"/>
  <c r="H471" i="11"/>
  <c r="G471" i="11"/>
  <c r="C469" i="11"/>
  <c r="H469" i="11"/>
  <c r="G470" i="11"/>
  <c r="C470" i="11"/>
  <c r="C471" i="11"/>
  <c r="D471" i="11"/>
  <c r="B471" i="11"/>
  <c r="H472" i="11"/>
  <c r="F471" i="11"/>
  <c r="E471" i="11"/>
  <c r="C472" i="11"/>
  <c r="E472" i="11"/>
  <c r="B472" i="11"/>
  <c r="G472" i="11"/>
  <c r="F473" i="11"/>
  <c r="D472" i="11"/>
  <c r="F472" i="11"/>
  <c r="E473" i="11"/>
  <c r="G473" i="11"/>
  <c r="B473" i="11"/>
  <c r="D473" i="11"/>
  <c r="E474" i="11"/>
  <c r="H473" i="11"/>
  <c r="C474" i="11"/>
  <c r="C473" i="11"/>
  <c r="H474" i="11"/>
  <c r="D474" i="11"/>
  <c r="G474" i="11"/>
  <c r="F474" i="11"/>
  <c r="B474" i="11"/>
  <c r="E475" i="11"/>
  <c r="B475" i="11"/>
  <c r="E476" i="11"/>
  <c r="G476" i="11"/>
  <c r="C476" i="11"/>
  <c r="H476" i="11"/>
  <c r="H475" i="11"/>
  <c r="G475" i="11"/>
  <c r="F475" i="11"/>
  <c r="D475" i="11"/>
  <c r="B476" i="11"/>
  <c r="B477" i="11"/>
  <c r="E478" i="11"/>
  <c r="G477" i="11"/>
  <c r="F476" i="11"/>
  <c r="C475" i="11"/>
  <c r="D476" i="11"/>
  <c r="F477" i="11"/>
  <c r="F478" i="11"/>
  <c r="C478" i="11"/>
  <c r="H477" i="11"/>
  <c r="C477" i="11"/>
  <c r="G478" i="11"/>
  <c r="B478" i="11"/>
  <c r="D477" i="11"/>
  <c r="H478" i="11"/>
  <c r="D479" i="11"/>
  <c r="C479" i="11"/>
  <c r="D478" i="11"/>
  <c r="E477" i="11"/>
  <c r="G479" i="11"/>
  <c r="E479" i="11"/>
  <c r="B479" i="11"/>
  <c r="F479" i="11"/>
  <c r="D480" i="11"/>
  <c r="H480" i="11"/>
  <c r="H479" i="11"/>
  <c r="F480" i="11"/>
  <c r="B480" i="11"/>
  <c r="G480" i="11"/>
  <c r="E481" i="11"/>
  <c r="F481" i="11"/>
  <c r="G481" i="11"/>
  <c r="E480" i="11"/>
  <c r="C480" i="11"/>
  <c r="H481" i="11"/>
  <c r="B481" i="11"/>
  <c r="C481" i="11"/>
  <c r="D482" i="11"/>
  <c r="C482" i="11"/>
  <c r="B482" i="11"/>
  <c r="D481" i="11"/>
  <c r="E482" i="11"/>
  <c r="D483" i="11"/>
  <c r="G483" i="11"/>
  <c r="B483" i="11"/>
  <c r="G484" i="11"/>
  <c r="H484" i="11"/>
  <c r="H483" i="11"/>
  <c r="E484" i="11"/>
  <c r="C483" i="11"/>
  <c r="C484" i="11"/>
  <c r="E483" i="11"/>
  <c r="G482" i="11"/>
  <c r="F482" i="11"/>
  <c r="H482" i="11"/>
  <c r="F483" i="11"/>
  <c r="D484" i="11"/>
  <c r="F484" i="11"/>
  <c r="B484" i="11"/>
  <c r="H485" i="11"/>
  <c r="E485" i="11"/>
  <c r="G485" i="11"/>
  <c r="F485" i="11"/>
  <c r="B485" i="11"/>
  <c r="D485" i="11"/>
  <c r="C485" i="11"/>
  <c r="B486" i="11"/>
  <c r="B487" i="11"/>
  <c r="E488" i="11"/>
  <c r="C488" i="11"/>
  <c r="D488" i="11"/>
  <c r="E486" i="11"/>
  <c r="D487" i="11"/>
  <c r="G488" i="11"/>
  <c r="E487" i="11"/>
  <c r="H488" i="11"/>
  <c r="C487" i="11"/>
  <c r="F486" i="11"/>
  <c r="H486" i="11"/>
  <c r="G486" i="11"/>
  <c r="B488" i="11"/>
  <c r="D489" i="11"/>
  <c r="D486" i="11"/>
  <c r="G487" i="11"/>
  <c r="H487" i="11"/>
  <c r="C486" i="11"/>
  <c r="G489" i="11"/>
  <c r="F488" i="11"/>
  <c r="F487" i="11"/>
  <c r="E489" i="11"/>
  <c r="F489" i="11"/>
  <c r="B489" i="11"/>
  <c r="C489" i="11"/>
  <c r="B490" i="11"/>
  <c r="F491" i="11"/>
  <c r="B491" i="11"/>
  <c r="F490" i="11"/>
  <c r="H489" i="11"/>
  <c r="D490" i="11"/>
  <c r="F492" i="11"/>
  <c r="H492" i="11"/>
  <c r="B492" i="11"/>
  <c r="E491" i="11"/>
  <c r="E490" i="11"/>
  <c r="C491" i="11"/>
  <c r="G492" i="11"/>
  <c r="D493" i="11"/>
  <c r="H493" i="11"/>
  <c r="E492" i="11"/>
  <c r="H490" i="11"/>
  <c r="G490" i="11"/>
  <c r="D491" i="11"/>
  <c r="C493" i="11"/>
  <c r="B493" i="11"/>
  <c r="D492" i="11"/>
  <c r="H491" i="11"/>
  <c r="G491" i="11"/>
  <c r="C490" i="11"/>
  <c r="C492" i="11"/>
  <c r="F493" i="11"/>
  <c r="F494" i="11"/>
  <c r="H494" i="11"/>
  <c r="E494" i="11"/>
  <c r="G493" i="11"/>
  <c r="E493" i="11"/>
  <c r="C494" i="11"/>
  <c r="G494" i="11"/>
  <c r="D494" i="11"/>
  <c r="B494" i="11"/>
  <c r="G495" i="11"/>
  <c r="C495" i="11"/>
  <c r="E495" i="11"/>
  <c r="D495" i="11"/>
  <c r="F495" i="11"/>
  <c r="B495" i="11"/>
  <c r="H496" i="11"/>
  <c r="H495" i="11"/>
  <c r="B496" i="11"/>
  <c r="C496" i="11"/>
  <c r="D496" i="11"/>
  <c r="F496" i="11"/>
  <c r="G497" i="11"/>
  <c r="E497" i="11"/>
  <c r="D497" i="11"/>
  <c r="C497" i="11"/>
  <c r="G496" i="11"/>
  <c r="F497" i="11"/>
  <c r="E496" i="11"/>
  <c r="B497" i="11"/>
  <c r="F498" i="11"/>
  <c r="D498" i="11"/>
  <c r="H497" i="11"/>
  <c r="G498" i="11"/>
  <c r="C498" i="11"/>
  <c r="E498" i="11"/>
  <c r="B498" i="11"/>
  <c r="B499" i="11"/>
  <c r="H498" i="11"/>
  <c r="F499" i="11"/>
  <c r="G500" i="11"/>
  <c r="D499" i="11"/>
  <c r="G499" i="11"/>
  <c r="E499" i="11"/>
  <c r="H500" i="11"/>
  <c r="F500" i="11"/>
  <c r="C499" i="11"/>
  <c r="H499" i="11"/>
  <c r="B500" i="11"/>
  <c r="C500" i="11"/>
  <c r="E500" i="11"/>
  <c r="E501" i="11"/>
  <c r="D500" i="11"/>
  <c r="G501" i="11"/>
  <c r="F501" i="11"/>
  <c r="B501" i="11"/>
  <c r="H501" i="11"/>
  <c r="D501" i="11"/>
  <c r="D502" i="11"/>
  <c r="C501" i="11"/>
  <c r="H502" i="11"/>
  <c r="C502" i="11"/>
  <c r="G502" i="11"/>
  <c r="B502" i="11"/>
  <c r="F502" i="11"/>
  <c r="D503" i="11"/>
  <c r="F503" i="11"/>
  <c r="E503" i="11"/>
  <c r="E502" i="11"/>
  <c r="G503" i="11"/>
  <c r="H503" i="11"/>
  <c r="B503" i="11"/>
  <c r="C503" i="11"/>
  <c r="H504" i="11"/>
  <c r="G504" i="11"/>
  <c r="C504" i="11"/>
  <c r="F504" i="11"/>
  <c r="B504" i="11"/>
  <c r="F505" i="11"/>
  <c r="D505" i="11"/>
  <c r="G505" i="11"/>
  <c r="E504" i="11"/>
  <c r="D504" i="11"/>
  <c r="C505" i="11"/>
  <c r="B505" i="11"/>
  <c r="F506" i="11"/>
  <c r="H505" i="11"/>
  <c r="E505" i="11"/>
  <c r="D506" i="11"/>
  <c r="G506" i="11"/>
  <c r="C506" i="11"/>
  <c r="E506" i="11"/>
  <c r="B506" i="11"/>
  <c r="H506" i="11"/>
  <c r="C507" i="11"/>
  <c r="H507" i="11"/>
  <c r="E507" i="11"/>
  <c r="G507" i="11"/>
  <c r="D507" i="11"/>
  <c r="F507" i="11"/>
  <c r="B507" i="11"/>
  <c r="D508" i="11"/>
  <c r="E508" i="11"/>
  <c r="H508" i="11"/>
  <c r="F508" i="11"/>
  <c r="B508" i="11"/>
  <c r="H509" i="11"/>
  <c r="F509" i="11"/>
  <c r="C508" i="11"/>
  <c r="G509" i="11"/>
  <c r="E509" i="11"/>
  <c r="G508" i="11"/>
  <c r="B509" i="11"/>
  <c r="F510" i="11"/>
  <c r="E510" i="11"/>
  <c r="G510" i="11"/>
  <c r="C509" i="11"/>
  <c r="H510" i="11"/>
  <c r="D509" i="11"/>
  <c r="C510" i="11"/>
  <c r="D510" i="11"/>
  <c r="B510" i="11"/>
  <c r="G511" i="11"/>
  <c r="F511" i="11"/>
  <c r="D511" i="11"/>
  <c r="B511" i="11"/>
  <c r="E511" i="11"/>
  <c r="C511" i="11"/>
  <c r="H511" i="11"/>
  <c r="A158" i="11" l="1"/>
  <c r="A159" i="11" s="1"/>
  <c r="A160" i="11" s="1"/>
  <c r="A161" i="11" s="1"/>
  <c r="A162" i="11" s="1"/>
  <c r="K143" i="11"/>
  <c r="N143" i="11" s="1"/>
  <c r="K141" i="11"/>
  <c r="P141" i="11" s="1"/>
  <c r="K142" i="11"/>
  <c r="L142" i="11" s="1"/>
  <c r="K140" i="11"/>
  <c r="Q140" i="11" s="1"/>
  <c r="K139" i="11"/>
  <c r="P139" i="11" s="1"/>
  <c r="K137" i="11"/>
  <c r="O137" i="11" s="1"/>
  <c r="K136" i="11"/>
  <c r="O136" i="11" s="1"/>
  <c r="K138" i="11"/>
  <c r="Q138" i="11" s="1"/>
  <c r="K135" i="11"/>
  <c r="O135" i="11" s="1"/>
  <c r="K134" i="11"/>
  <c r="Q134" i="11" s="1"/>
  <c r="K133" i="11"/>
  <c r="J133" i="11" s="1"/>
  <c r="K132" i="11"/>
  <c r="N132" i="11" s="1"/>
  <c r="K131" i="11"/>
  <c r="M131" i="11" s="1"/>
  <c r="K129" i="11"/>
  <c r="L129" i="11" s="1"/>
  <c r="K130" i="11"/>
  <c r="P130" i="11" s="1"/>
  <c r="K128" i="11"/>
  <c r="Q128" i="11" s="1"/>
  <c r="K127" i="11"/>
  <c r="K124" i="11"/>
  <c r="M124" i="11" s="1"/>
  <c r="K125" i="11"/>
  <c r="P125" i="11" s="1"/>
  <c r="K126" i="11"/>
  <c r="R126" i="11" s="1"/>
  <c r="K123" i="11"/>
  <c r="J123" i="11" s="1"/>
  <c r="K122" i="11"/>
  <c r="Q122" i="11" s="1"/>
  <c r="K120" i="11"/>
  <c r="J120" i="11" s="1"/>
  <c r="K121" i="11"/>
  <c r="O121" i="11" s="1"/>
  <c r="K119" i="11"/>
  <c r="R119" i="11" s="1"/>
  <c r="K118" i="11"/>
  <c r="Q118" i="11" s="1"/>
  <c r="X118" i="11"/>
  <c r="Q126" i="11"/>
  <c r="P127" i="11"/>
  <c r="J142" i="11"/>
  <c r="L127" i="11"/>
  <c r="L118" i="11"/>
  <c r="O134" i="11"/>
  <c r="R142" i="11"/>
  <c r="J127" i="11"/>
  <c r="R118" i="11"/>
  <c r="M142" i="11"/>
  <c r="N134" i="11"/>
  <c r="N118" i="11"/>
  <c r="L134" i="11"/>
  <c r="R134" i="11"/>
  <c r="J118" i="11"/>
  <c r="M118" i="11"/>
  <c r="J134" i="11"/>
  <c r="L132" i="11"/>
  <c r="J124" i="11"/>
  <c r="J126" i="11"/>
  <c r="R132" i="11"/>
  <c r="R135" i="11"/>
  <c r="Q135" i="11"/>
  <c r="N135" i="11"/>
  <c r="N120" i="11"/>
  <c r="J143" i="11"/>
  <c r="L135" i="11"/>
  <c r="P143" i="11"/>
  <c r="R120" i="11"/>
  <c r="M135" i="11"/>
  <c r="Q143" i="11"/>
  <c r="O129" i="11"/>
  <c r="Q124" i="11"/>
  <c r="L143" i="11"/>
  <c r="P135" i="11"/>
  <c r="M143" i="11"/>
  <c r="Q133" i="11"/>
  <c r="O143" i="11"/>
  <c r="J135" i="11"/>
  <c r="R143" i="11"/>
  <c r="O118" i="11"/>
  <c r="P118" i="11"/>
  <c r="N127" i="11"/>
  <c r="M138" i="11"/>
  <c r="Q141" i="11"/>
  <c r="R133" i="11"/>
  <c r="O124" i="11"/>
  <c r="M140" i="11"/>
  <c r="M132" i="11"/>
  <c r="J141" i="11"/>
  <c r="L126" i="11"/>
  <c r="L137" i="11"/>
  <c r="M137" i="11"/>
  <c r="L121" i="11"/>
  <c r="P131" i="11"/>
  <c r="P140" i="11"/>
  <c r="Q127" i="11"/>
  <c r="J119" i="11"/>
  <c r="N119" i="11"/>
  <c r="N136" i="11"/>
  <c r="P136" i="11"/>
  <c r="L138" i="11"/>
  <c r="J125" i="11"/>
  <c r="O125" i="11"/>
  <c r="Q125" i="11"/>
  <c r="N138" i="11"/>
  <c r="N131" i="11"/>
  <c r="K145" i="11"/>
  <c r="R145" i="11" s="1"/>
  <c r="P119" i="11"/>
  <c r="O138" i="11"/>
  <c r="O133" i="11"/>
  <c r="R137" i="11"/>
  <c r="P128" i="11"/>
  <c r="P138" i="11"/>
  <c r="J121" i="11"/>
  <c r="R128" i="11"/>
  <c r="N123" i="11"/>
  <c r="L119" i="11"/>
  <c r="O119" i="11"/>
  <c r="R121" i="11"/>
  <c r="J138" i="11"/>
  <c r="M136" i="11"/>
  <c r="M125" i="11"/>
  <c r="P133" i="11"/>
  <c r="N121" i="11"/>
  <c r="Q139" i="11"/>
  <c r="L133" i="11"/>
  <c r="N124" i="11"/>
  <c r="O128" i="11"/>
  <c r="K146" i="11"/>
  <c r="Q146" i="11" s="1"/>
  <c r="N128" i="11"/>
  <c r="R131" i="11"/>
  <c r="M128" i="11"/>
  <c r="Q119" i="11"/>
  <c r="M133" i="11"/>
  <c r="O141" i="11"/>
  <c r="J128" i="11"/>
  <c r="Q137" i="11"/>
  <c r="O131" i="11"/>
  <c r="L125" i="11"/>
  <c r="P121" i="11"/>
  <c r="M121" i="11"/>
  <c r="R124" i="11"/>
  <c r="P124" i="11"/>
  <c r="P137" i="11"/>
  <c r="R140" i="11"/>
  <c r="R138" i="11"/>
  <c r="Q121" i="11"/>
  <c r="L123" i="11"/>
  <c r="N126" i="11"/>
  <c r="O132" i="11"/>
  <c r="R125" i="11"/>
  <c r="M119" i="11"/>
  <c r="K144" i="11"/>
  <c r="P144" i="11" s="1"/>
  <c r="L141" i="11"/>
  <c r="R141" i="11"/>
  <c r="N133" i="11"/>
  <c r="A163" i="11"/>
  <c r="K149" i="11" s="1"/>
  <c r="O149" i="11" s="1"/>
  <c r="K148" i="11"/>
  <c r="O148" i="11" s="1"/>
  <c r="K147" i="11"/>
  <c r="O147" i="11" s="1"/>
  <c r="J201" i="11"/>
  <c r="J129" i="11" l="1"/>
  <c r="O123" i="11"/>
  <c r="R130" i="11"/>
  <c r="L122" i="11"/>
  <c r="R122" i="11"/>
  <c r="P120" i="11"/>
  <c r="M129" i="11"/>
  <c r="Q132" i="11"/>
  <c r="P122" i="11"/>
  <c r="R139" i="11"/>
  <c r="O140" i="11"/>
  <c r="M123" i="11"/>
  <c r="R136" i="11"/>
  <c r="P126" i="11"/>
  <c r="M122" i="11"/>
  <c r="L136" i="11"/>
  <c r="N130" i="11"/>
  <c r="L131" i="11"/>
  <c r="O120" i="11"/>
  <c r="M139" i="11"/>
  <c r="N122" i="11"/>
  <c r="Q131" i="11"/>
  <c r="J122" i="11"/>
  <c r="N140" i="11"/>
  <c r="N139" i="11"/>
  <c r="M120" i="11"/>
  <c r="Q129" i="11"/>
  <c r="L140" i="11"/>
  <c r="Q136" i="11"/>
  <c r="Q130" i="11"/>
  <c r="J132" i="11"/>
  <c r="M130" i="11"/>
  <c r="N125" i="11"/>
  <c r="L124" i="11"/>
  <c r="P123" i="11"/>
  <c r="L128" i="11"/>
  <c r="L139" i="11"/>
  <c r="O139" i="11"/>
  <c r="O126" i="11"/>
  <c r="M126" i="11"/>
  <c r="M134" i="11"/>
  <c r="P134" i="11"/>
  <c r="J130" i="11"/>
  <c r="Q123" i="11"/>
  <c r="J137" i="11"/>
  <c r="Q120" i="11"/>
  <c r="R129" i="11"/>
  <c r="O122" i="11"/>
  <c r="R123" i="11"/>
  <c r="J139" i="11"/>
  <c r="J140" i="11"/>
  <c r="N137" i="11"/>
  <c r="J131" i="11"/>
  <c r="L130" i="11"/>
  <c r="O130" i="11"/>
  <c r="J136" i="11"/>
  <c r="L120" i="11"/>
  <c r="N129" i="11"/>
  <c r="P129" i="11"/>
  <c r="P132" i="11"/>
  <c r="R127" i="11"/>
  <c r="O127" i="11"/>
  <c r="M127" i="11"/>
  <c r="O142" i="11"/>
  <c r="P142" i="11"/>
  <c r="N142" i="11"/>
  <c r="Q142" i="11"/>
  <c r="N141" i="11"/>
  <c r="M141" i="11"/>
  <c r="X119" i="11"/>
  <c r="X120" i="11" s="1"/>
  <c r="X121" i="11" s="1"/>
  <c r="X122" i="11" s="1"/>
  <c r="X123" i="11" s="1"/>
  <c r="X124" i="11" s="1"/>
  <c r="X125" i="11" s="1"/>
  <c r="X126" i="11" s="1"/>
  <c r="X127" i="11" s="1"/>
  <c r="X128" i="11" s="1"/>
  <c r="X129" i="11" s="1"/>
  <c r="X130" i="11" s="1"/>
  <c r="X131" i="11" s="1"/>
  <c r="X132" i="11" s="1"/>
  <c r="X133" i="11" s="1"/>
  <c r="X134" i="11" s="1"/>
  <c r="X135" i="11" s="1"/>
  <c r="X136" i="11" s="1"/>
  <c r="X137" i="11" s="1"/>
  <c r="X138" i="11" s="1"/>
  <c r="X139" i="11" s="1"/>
  <c r="X140" i="11" s="1"/>
  <c r="X141" i="11" s="1"/>
  <c r="X142" i="11" s="1"/>
  <c r="X143" i="11" s="1"/>
  <c r="X144" i="11" s="1"/>
  <c r="O146" i="11"/>
  <c r="J146" i="11"/>
  <c r="P145" i="11"/>
  <c r="M146" i="11"/>
  <c r="M145" i="11"/>
  <c r="L145" i="11"/>
  <c r="Q145" i="11"/>
  <c r="O145" i="11"/>
  <c r="N145" i="11"/>
  <c r="J145" i="11"/>
  <c r="N144" i="11"/>
  <c r="P146" i="11"/>
  <c r="J144" i="11"/>
  <c r="Q144" i="11"/>
  <c r="R144" i="11"/>
  <c r="O144" i="11"/>
  <c r="M144" i="11"/>
  <c r="N146" i="11"/>
  <c r="R146" i="11"/>
  <c r="L144" i="11"/>
  <c r="L146" i="11"/>
  <c r="A164" i="11"/>
  <c r="A165" i="11" s="1"/>
  <c r="Q148" i="11"/>
  <c r="Q147" i="11"/>
  <c r="M148" i="11"/>
  <c r="L148" i="11"/>
  <c r="R147" i="11"/>
  <c r="L147" i="11"/>
  <c r="J148" i="11"/>
  <c r="R148" i="11"/>
  <c r="N148" i="11"/>
  <c r="N147" i="11"/>
  <c r="M147" i="11"/>
  <c r="P148" i="11"/>
  <c r="J147" i="11"/>
  <c r="P147" i="11"/>
  <c r="M149" i="11"/>
  <c r="J149" i="11"/>
  <c r="Q149" i="11"/>
  <c r="R149" i="11"/>
  <c r="L149" i="11"/>
  <c r="P149" i="11"/>
  <c r="N149" i="11"/>
  <c r="J202" i="11"/>
  <c r="K150" i="11" l="1"/>
  <c r="L150" i="11" s="1"/>
  <c r="A166" i="11"/>
  <c r="K151" i="11"/>
  <c r="R151" i="11" s="1"/>
  <c r="J203" i="11"/>
  <c r="N150" i="11" l="1"/>
  <c r="P150" i="11"/>
  <c r="J150" i="11"/>
  <c r="Q150" i="11"/>
  <c r="O150" i="11"/>
  <c r="R150" i="11"/>
  <c r="M150" i="11"/>
  <c r="K152" i="11"/>
  <c r="O152" i="11" s="1"/>
  <c r="A167" i="11"/>
  <c r="K153" i="11" s="1"/>
  <c r="L153" i="11" s="1"/>
  <c r="J151" i="11"/>
  <c r="L151" i="11"/>
  <c r="Q151" i="11"/>
  <c r="P151" i="11"/>
  <c r="N151" i="11"/>
  <c r="M151" i="11"/>
  <c r="O151" i="11"/>
  <c r="J204" i="11"/>
  <c r="J152" i="11" l="1"/>
  <c r="Q152" i="11"/>
  <c r="N152" i="11"/>
  <c r="R152" i="11"/>
  <c r="L152" i="11"/>
  <c r="P152" i="11"/>
  <c r="A168" i="11"/>
  <c r="K154" i="11" s="1"/>
  <c r="R154" i="11" s="1"/>
  <c r="N153" i="11"/>
  <c r="M152" i="11"/>
  <c r="R153" i="11"/>
  <c r="O153" i="11"/>
  <c r="P153" i="11"/>
  <c r="M153" i="11"/>
  <c r="Q153" i="11"/>
  <c r="J153" i="11"/>
  <c r="J205" i="11"/>
  <c r="A169" i="11" l="1"/>
  <c r="A170" i="11" s="1"/>
  <c r="K156" i="11" s="1"/>
  <c r="R156" i="11" s="1"/>
  <c r="P154" i="11"/>
  <c r="M154" i="11"/>
  <c r="Q154" i="11"/>
  <c r="J154" i="11"/>
  <c r="N154" i="11"/>
  <c r="L154" i="11"/>
  <c r="O154" i="11"/>
  <c r="J206" i="11"/>
  <c r="K155" i="11" l="1"/>
  <c r="Q155" i="11" s="1"/>
  <c r="A171" i="11"/>
  <c r="K157" i="11" s="1"/>
  <c r="M157" i="11" s="1"/>
  <c r="L156" i="11"/>
  <c r="N156" i="11"/>
  <c r="J156" i="11"/>
  <c r="Q156" i="11"/>
  <c r="O156" i="11"/>
  <c r="M156" i="11"/>
  <c r="P156" i="11"/>
  <c r="J207" i="11"/>
  <c r="A172" i="11" l="1"/>
  <c r="A173" i="11" s="1"/>
  <c r="L155" i="11"/>
  <c r="O155" i="11"/>
  <c r="J155" i="11"/>
  <c r="M155" i="11"/>
  <c r="R155" i="11"/>
  <c r="P155" i="11"/>
  <c r="N155" i="11"/>
  <c r="N157" i="11"/>
  <c r="R157" i="11"/>
  <c r="J157" i="11"/>
  <c r="P157" i="11"/>
  <c r="Q157" i="11"/>
  <c r="O157" i="11"/>
  <c r="L157" i="11"/>
  <c r="J208" i="11"/>
  <c r="K158" i="11" l="1"/>
  <c r="J158" i="11" s="1"/>
  <c r="A174" i="11"/>
  <c r="A175" i="11" s="1"/>
  <c r="A176" i="11" s="1"/>
  <c r="A177" i="11" s="1"/>
  <c r="A178" i="11" s="1"/>
  <c r="K159" i="11"/>
  <c r="J159" i="11" s="1"/>
  <c r="J209" i="11"/>
  <c r="O158" i="11" l="1"/>
  <c r="Q158" i="11"/>
  <c r="L158" i="11"/>
  <c r="M158" i="11"/>
  <c r="N158" i="11"/>
  <c r="R158" i="11"/>
  <c r="P158" i="11"/>
  <c r="K160" i="11"/>
  <c r="O160" i="11" s="1"/>
  <c r="K161" i="11"/>
  <c r="J161" i="11" s="1"/>
  <c r="R159" i="11"/>
  <c r="M159" i="11"/>
  <c r="O159" i="11"/>
  <c r="Q159" i="11"/>
  <c r="P159" i="11"/>
  <c r="L159" i="11"/>
  <c r="N159" i="11"/>
  <c r="K162" i="11"/>
  <c r="K164" i="11"/>
  <c r="K163" i="11"/>
  <c r="A179" i="11"/>
  <c r="J210" i="11"/>
  <c r="Q160" i="11" l="1"/>
  <c r="J160" i="11"/>
  <c r="M160" i="11"/>
  <c r="N160" i="11"/>
  <c r="P160" i="11"/>
  <c r="R160" i="11"/>
  <c r="L160" i="11"/>
  <c r="K165" i="11"/>
  <c r="L165" i="11" s="1"/>
  <c r="O161" i="11"/>
  <c r="N161" i="11"/>
  <c r="Q161" i="11"/>
  <c r="L161" i="11"/>
  <c r="R161" i="11"/>
  <c r="M161" i="11"/>
  <c r="P161" i="11"/>
  <c r="O163" i="11"/>
  <c r="L163" i="11"/>
  <c r="N163" i="11"/>
  <c r="M163" i="11"/>
  <c r="J163" i="11"/>
  <c r="Q163" i="11"/>
  <c r="P163" i="11"/>
  <c r="R163" i="11"/>
  <c r="O164" i="11"/>
  <c r="M164" i="11"/>
  <c r="Q164" i="11"/>
  <c r="N164" i="11"/>
  <c r="R164" i="11"/>
  <c r="J164" i="11"/>
  <c r="L164" i="11"/>
  <c r="P164" i="11"/>
  <c r="A180" i="11"/>
  <c r="O162" i="11"/>
  <c r="L162" i="11"/>
  <c r="R162" i="11"/>
  <c r="J162" i="11"/>
  <c r="Q162" i="11"/>
  <c r="M162" i="11"/>
  <c r="N162" i="11"/>
  <c r="P162" i="11"/>
  <c r="J211" i="11"/>
  <c r="O165" i="11" l="1"/>
  <c r="R165" i="11"/>
  <c r="Q165" i="11"/>
  <c r="M165" i="11"/>
  <c r="N165" i="11"/>
  <c r="P165" i="11"/>
  <c r="K166" i="11"/>
  <c r="O166" i="11" s="1"/>
  <c r="J165" i="11"/>
  <c r="A181" i="11"/>
  <c r="J212" i="11"/>
  <c r="M166" i="11" l="1"/>
  <c r="L166" i="11"/>
  <c r="Q166" i="11"/>
  <c r="N166" i="11"/>
  <c r="R166" i="11"/>
  <c r="J166" i="11"/>
  <c r="A182" i="11"/>
  <c r="P166" i="11"/>
  <c r="K167" i="11"/>
  <c r="J213" i="11"/>
  <c r="K168" i="11" l="1"/>
  <c r="O168" i="11" s="1"/>
  <c r="A183" i="11"/>
  <c r="O167" i="11"/>
  <c r="J167" i="11"/>
  <c r="N167" i="11"/>
  <c r="L167" i="11"/>
  <c r="P167" i="11"/>
  <c r="M167" i="11"/>
  <c r="R167" i="11"/>
  <c r="Q167" i="11"/>
  <c r="J214" i="11"/>
  <c r="Q168" i="11" l="1"/>
  <c r="P168" i="11"/>
  <c r="R168" i="11"/>
  <c r="N168" i="11"/>
  <c r="M168" i="11"/>
  <c r="J168" i="11"/>
  <c r="L168" i="11"/>
  <c r="A184" i="11"/>
  <c r="K169" i="11"/>
  <c r="O169" i="11" s="1"/>
  <c r="J215" i="11"/>
  <c r="J169" i="11" l="1"/>
  <c r="Q169" i="11"/>
  <c r="M169" i="11"/>
  <c r="R169" i="11"/>
  <c r="L169" i="11"/>
  <c r="N169" i="11"/>
  <c r="P169" i="11"/>
  <c r="K170" i="11"/>
  <c r="A185" i="11"/>
  <c r="A186" i="11" s="1"/>
  <c r="J216" i="11"/>
  <c r="K171" i="11" l="1"/>
  <c r="K172" i="11"/>
  <c r="O172" i="11" s="1"/>
  <c r="O170" i="11"/>
  <c r="P170" i="11"/>
  <c r="N170" i="11"/>
  <c r="M170" i="11"/>
  <c r="L170" i="11"/>
  <c r="Q170" i="11"/>
  <c r="R170" i="11"/>
  <c r="J170" i="11"/>
  <c r="A187" i="11"/>
  <c r="J217" i="11"/>
  <c r="A188" i="11" l="1"/>
  <c r="A189" i="11" s="1"/>
  <c r="J172" i="11"/>
  <c r="P172" i="11"/>
  <c r="L172" i="11"/>
  <c r="K173" i="11"/>
  <c r="O173" i="11" s="1"/>
  <c r="M172" i="11"/>
  <c r="R172" i="11"/>
  <c r="Q172" i="11"/>
  <c r="N172" i="11"/>
  <c r="O171" i="11"/>
  <c r="Q171" i="11"/>
  <c r="J171" i="11"/>
  <c r="L171" i="11"/>
  <c r="N171" i="11"/>
  <c r="R171" i="11"/>
  <c r="M171" i="11"/>
  <c r="P171" i="11"/>
  <c r="J218" i="11"/>
  <c r="K174" i="11" l="1"/>
  <c r="O174" i="11" s="1"/>
  <c r="L173" i="11"/>
  <c r="J173" i="11"/>
  <c r="N173" i="11"/>
  <c r="P173" i="11"/>
  <c r="Q173" i="11"/>
  <c r="M173" i="11"/>
  <c r="R173" i="11"/>
  <c r="A190" i="11"/>
  <c r="K175" i="11"/>
  <c r="O175" i="11" s="1"/>
  <c r="J219" i="11"/>
  <c r="J174" i="11" l="1"/>
  <c r="Q174" i="11"/>
  <c r="P174" i="11"/>
  <c r="N174" i="11"/>
  <c r="L174" i="11"/>
  <c r="R174" i="11"/>
  <c r="M174" i="11"/>
  <c r="R175" i="11"/>
  <c r="J175" i="11"/>
  <c r="P175" i="11"/>
  <c r="Q175" i="11"/>
  <c r="N175" i="11"/>
  <c r="L175" i="11"/>
  <c r="M175" i="11"/>
  <c r="A191" i="11"/>
  <c r="K176" i="11"/>
  <c r="O176" i="11" s="1"/>
  <c r="J220" i="11"/>
  <c r="M176" i="11" l="1"/>
  <c r="R176" i="11"/>
  <c r="Q176" i="11"/>
  <c r="P176" i="11"/>
  <c r="L176" i="11"/>
  <c r="J176" i="11"/>
  <c r="N176" i="11"/>
  <c r="A192" i="11"/>
  <c r="K177" i="11"/>
  <c r="O177" i="11" s="1"/>
  <c r="J221" i="11"/>
  <c r="M177" i="11" l="1"/>
  <c r="L177" i="11"/>
  <c r="J177" i="11"/>
  <c r="N177" i="11"/>
  <c r="Q177" i="11"/>
  <c r="R177" i="11"/>
  <c r="P177" i="11"/>
  <c r="A193" i="11"/>
  <c r="K178" i="11"/>
  <c r="O178" i="11" s="1"/>
  <c r="J222" i="11"/>
  <c r="J178" i="11" l="1"/>
  <c r="Q178" i="11"/>
  <c r="N178" i="11"/>
  <c r="M178" i="11"/>
  <c r="L178" i="11"/>
  <c r="P178" i="11"/>
  <c r="R178" i="11"/>
  <c r="A194" i="11"/>
  <c r="K179" i="11"/>
  <c r="O179" i="11" s="1"/>
  <c r="J223" i="11"/>
  <c r="M179" i="11" l="1"/>
  <c r="L179" i="11"/>
  <c r="P179" i="11"/>
  <c r="N179" i="11"/>
  <c r="J179" i="11"/>
  <c r="R179" i="11"/>
  <c r="Q179" i="11"/>
  <c r="A195" i="11"/>
  <c r="K180" i="11"/>
  <c r="O180" i="11" s="1"/>
  <c r="J224" i="11"/>
  <c r="M180" i="11" l="1"/>
  <c r="N180" i="11"/>
  <c r="J180" i="11"/>
  <c r="P180" i="11"/>
  <c r="R180" i="11"/>
  <c r="Q180" i="11"/>
  <c r="L180" i="11"/>
  <c r="A196" i="11"/>
  <c r="K181" i="11"/>
  <c r="O181" i="11" s="1"/>
  <c r="J225" i="11"/>
  <c r="P181" i="11" l="1"/>
  <c r="L181" i="11"/>
  <c r="Q181" i="11"/>
  <c r="J181" i="11"/>
  <c r="R181" i="11"/>
  <c r="N181" i="11"/>
  <c r="M181" i="11"/>
  <c r="A197" i="11"/>
  <c r="K182" i="11"/>
  <c r="J226" i="11"/>
  <c r="P182" i="11" l="1"/>
  <c r="Q182" i="11"/>
  <c r="R182" i="11"/>
  <c r="O182" i="11"/>
  <c r="L182" i="11"/>
  <c r="M182" i="11"/>
  <c r="N182" i="11"/>
  <c r="J182" i="11"/>
  <c r="A198" i="11"/>
  <c r="K183" i="11"/>
  <c r="J227" i="11"/>
  <c r="O183" i="11" l="1"/>
  <c r="P183" i="11"/>
  <c r="Q183" i="11"/>
  <c r="R183" i="11"/>
  <c r="N183" i="11"/>
  <c r="L183" i="11"/>
  <c r="M183" i="11"/>
  <c r="J183" i="11"/>
  <c r="A199" i="11"/>
  <c r="K184" i="11"/>
  <c r="J228" i="11"/>
  <c r="O184" i="11" l="1"/>
  <c r="P184" i="11"/>
  <c r="Q184" i="11"/>
  <c r="R184" i="11"/>
  <c r="L184" i="11"/>
  <c r="M184" i="11"/>
  <c r="N184" i="11"/>
  <c r="J184" i="11"/>
  <c r="A200" i="11"/>
  <c r="K186" i="11" s="1"/>
  <c r="K185" i="11"/>
  <c r="J229" i="11"/>
  <c r="R186" i="11" l="1"/>
  <c r="O186" i="11"/>
  <c r="Q186" i="11"/>
  <c r="J186" i="11"/>
  <c r="L186" i="11"/>
  <c r="M186" i="11"/>
  <c r="N186" i="11"/>
  <c r="P186" i="11"/>
  <c r="O185" i="11"/>
  <c r="P185" i="11"/>
  <c r="Q185" i="11"/>
  <c r="R185" i="11"/>
  <c r="M185" i="11"/>
  <c r="J185" i="11"/>
  <c r="L185" i="11"/>
  <c r="N185" i="11"/>
  <c r="A201" i="11"/>
  <c r="K187" i="11" s="1"/>
  <c r="J230" i="11"/>
  <c r="J187" i="11" l="1"/>
  <c r="L187" i="11"/>
  <c r="M187" i="11"/>
  <c r="N187" i="11"/>
  <c r="O187" i="11"/>
  <c r="P187" i="11"/>
  <c r="Q187" i="11"/>
  <c r="R187" i="11"/>
  <c r="A202" i="11"/>
  <c r="K188" i="11" s="1"/>
  <c r="J231" i="11"/>
  <c r="P188" i="11" l="1"/>
  <c r="Q188" i="11"/>
  <c r="R188" i="11"/>
  <c r="J188" i="11"/>
  <c r="L188" i="11"/>
  <c r="M188" i="11"/>
  <c r="N188" i="11"/>
  <c r="O188" i="11"/>
  <c r="A203" i="11"/>
  <c r="K189" i="11" s="1"/>
  <c r="J232" i="11"/>
  <c r="J189" i="11" l="1"/>
  <c r="L189" i="11"/>
  <c r="M189" i="11"/>
  <c r="N189" i="11"/>
  <c r="O189" i="11"/>
  <c r="P189" i="11"/>
  <c r="Q189" i="11"/>
  <c r="R189" i="11"/>
  <c r="A204" i="11"/>
  <c r="K190" i="11" s="1"/>
  <c r="J233" i="11"/>
  <c r="N190" i="11" l="1"/>
  <c r="O190" i="11"/>
  <c r="P190" i="11"/>
  <c r="Q190" i="11"/>
  <c r="R190" i="11"/>
  <c r="J190" i="11"/>
  <c r="L190" i="11"/>
  <c r="M190" i="11"/>
  <c r="A205" i="11"/>
  <c r="K191" i="11" s="1"/>
  <c r="J234" i="11"/>
  <c r="J191" i="11" l="1"/>
  <c r="L191" i="11"/>
  <c r="M191" i="11"/>
  <c r="N191" i="11"/>
  <c r="O191" i="11"/>
  <c r="P191" i="11"/>
  <c r="Q191" i="11"/>
  <c r="R191" i="11"/>
  <c r="A206" i="11"/>
  <c r="K192" i="11" s="1"/>
  <c r="J235" i="11"/>
  <c r="L192" i="11" l="1"/>
  <c r="M192" i="11"/>
  <c r="O192" i="11"/>
  <c r="Q192" i="11"/>
  <c r="R192" i="11"/>
  <c r="J192" i="11"/>
  <c r="N192" i="11"/>
  <c r="P192" i="11"/>
  <c r="A207" i="11"/>
  <c r="K193" i="11" s="1"/>
  <c r="J236" i="11"/>
  <c r="L193" i="11" l="1"/>
  <c r="M193" i="11"/>
  <c r="J193" i="11"/>
  <c r="N193" i="11"/>
  <c r="Q193" i="11"/>
  <c r="O193" i="11"/>
  <c r="R193" i="11"/>
  <c r="P193" i="11"/>
  <c r="A208" i="11"/>
  <c r="K194" i="11" s="1"/>
  <c r="J237" i="11"/>
  <c r="O194" i="11" l="1"/>
  <c r="P194" i="11"/>
  <c r="Q194" i="11"/>
  <c r="R194" i="11"/>
  <c r="J194" i="11"/>
  <c r="L194" i="11"/>
  <c r="M194" i="11"/>
  <c r="N194" i="11"/>
  <c r="A209" i="11"/>
  <c r="K195" i="11" s="1"/>
  <c r="J238" i="11"/>
  <c r="J195" i="11" l="1"/>
  <c r="M195" i="11"/>
  <c r="Q195" i="11"/>
  <c r="N195" i="11"/>
  <c r="L195" i="11"/>
  <c r="O195" i="11"/>
  <c r="P195" i="11"/>
  <c r="R195" i="11"/>
  <c r="A210" i="11"/>
  <c r="J239" i="11"/>
  <c r="A211" i="11" l="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K196" i="11"/>
  <c r="J240" i="11"/>
  <c r="A248" i="11" l="1"/>
  <c r="A249" i="11" s="1"/>
  <c r="A250" i="11" s="1"/>
  <c r="A251" i="11" s="1"/>
  <c r="M196" i="11"/>
  <c r="N196" i="11"/>
  <c r="O196" i="11"/>
  <c r="P196" i="11"/>
  <c r="Q196" i="11"/>
  <c r="R196" i="11"/>
  <c r="J196" i="11"/>
  <c r="L196" i="11"/>
  <c r="J241" i="11"/>
  <c r="A252" i="11" l="1"/>
  <c r="A253" i="11" s="1"/>
  <c r="J242" i="11"/>
  <c r="A254" i="11" l="1"/>
  <c r="A255" i="11" s="1"/>
  <c r="J243" i="11"/>
  <c r="A256" i="11" l="1"/>
  <c r="J244" i="11"/>
  <c r="A257" i="11" l="1"/>
  <c r="A258" i="11" s="1"/>
  <c r="J245" i="11"/>
  <c r="A259" i="11" l="1"/>
  <c r="A260" i="11" s="1"/>
  <c r="J246" i="11"/>
  <c r="A261" i="11" l="1"/>
  <c r="A262" i="11" s="1"/>
  <c r="J247" i="11"/>
  <c r="A263" i="11" l="1"/>
  <c r="A264" i="11" s="1"/>
  <c r="J248" i="11"/>
  <c r="J249" i="11" l="1"/>
  <c r="A265" i="11"/>
  <c r="J250" i="11" l="1"/>
  <c r="A266" i="11"/>
  <c r="J251" i="11" l="1"/>
  <c r="A267" i="11"/>
  <c r="J252" i="11" l="1"/>
  <c r="A268" i="11"/>
  <c r="A269" i="11" l="1"/>
  <c r="J253" i="11"/>
  <c r="A270" i="11" l="1"/>
  <c r="J254" i="11"/>
  <c r="J255" i="11" l="1"/>
  <c r="A271" i="11"/>
  <c r="A272" i="11" l="1"/>
  <c r="J256" i="11"/>
  <c r="A273" i="11" l="1"/>
  <c r="J257" i="11"/>
  <c r="J258" i="11" l="1"/>
  <c r="A274" i="11"/>
  <c r="J259" i="11" l="1"/>
  <c r="A275" i="11"/>
  <c r="J260" i="11" l="1"/>
  <c r="A276" i="11"/>
  <c r="J261" i="11" l="1"/>
  <c r="A277" i="11"/>
  <c r="J262" i="11" l="1"/>
  <c r="A278" i="11"/>
  <c r="J263" i="11" l="1"/>
  <c r="A279" i="11"/>
  <c r="J264" i="11" l="1"/>
  <c r="A280" i="11"/>
  <c r="A281" i="11" l="1"/>
  <c r="J265" i="11"/>
  <c r="J266" i="11" l="1"/>
  <c r="A282" i="11"/>
  <c r="J267" i="11" l="1"/>
  <c r="A283" i="11"/>
  <c r="J268" i="11" l="1"/>
  <c r="A284" i="11"/>
  <c r="A285" i="11" l="1"/>
  <c r="J269" i="11"/>
  <c r="J270" i="11" l="1"/>
  <c r="A286" i="11"/>
  <c r="J271" i="11" l="1"/>
  <c r="A287" i="11"/>
  <c r="A288" i="11" l="1"/>
  <c r="J272" i="11"/>
  <c r="A289" i="11" l="1"/>
  <c r="J273" i="11"/>
  <c r="J274" i="11" l="1"/>
  <c r="A290" i="11"/>
  <c r="A291" i="11" l="1"/>
  <c r="J275" i="11"/>
  <c r="J276" i="11" l="1"/>
  <c r="A292" i="11"/>
  <c r="J277" i="11" l="1"/>
  <c r="A293" i="11"/>
  <c r="A294" i="11" l="1"/>
  <c r="J278" i="11"/>
  <c r="J279" i="11" l="1"/>
  <c r="A295" i="11"/>
  <c r="A296" i="11" s="1"/>
  <c r="A297" i="11" s="1"/>
  <c r="A298" i="11" s="1"/>
  <c r="A299" i="11" s="1"/>
  <c r="A300" i="11" s="1"/>
  <c r="A301" i="11" s="1"/>
  <c r="A302" i="11" s="1"/>
  <c r="A303" i="11" s="1"/>
  <c r="A304" i="11" s="1"/>
  <c r="A305" i="11" s="1"/>
  <c r="A306" i="11" s="1"/>
  <c r="J280" i="11" l="1"/>
  <c r="J281" i="11" l="1"/>
  <c r="J282" i="11" l="1"/>
  <c r="J283" i="11" l="1"/>
  <c r="J284" i="11" l="1"/>
  <c r="J285" i="11" l="1"/>
  <c r="J286" i="11" l="1"/>
  <c r="A307" i="11" l="1"/>
  <c r="A308" i="11" l="1"/>
  <c r="A309" i="11" s="1"/>
  <c r="A310" i="11" s="1"/>
  <c r="A311" i="11" s="1"/>
  <c r="A312" i="11" s="1"/>
  <c r="A313" i="11" s="1"/>
  <c r="A314" i="11" s="1"/>
  <c r="A315" i="11" s="1"/>
  <c r="A316" i="11" s="1"/>
  <c r="A317" i="11" s="1"/>
  <c r="A318" i="11" s="1"/>
  <c r="A319" i="11" l="1"/>
  <c r="K304" i="11"/>
  <c r="L304" i="11" l="1"/>
  <c r="J304" i="11"/>
  <c r="O304" i="11"/>
  <c r="P304" i="11"/>
  <c r="M304" i="11"/>
  <c r="N304" i="11"/>
  <c r="A320" i="1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K305" i="11"/>
  <c r="K306" i="11" l="1"/>
  <c r="P305" i="11"/>
  <c r="N305" i="11"/>
  <c r="O305" i="11"/>
  <c r="J305" i="11"/>
  <c r="L305" i="11"/>
  <c r="M305" i="11"/>
  <c r="Q304" i="11"/>
  <c r="R304" i="11" s="1"/>
  <c r="K307" i="11"/>
  <c r="I15" i="11"/>
  <c r="N5" i="11"/>
  <c r="E81" i="11"/>
  <c r="N44" i="11"/>
  <c r="B85" i="11"/>
  <c r="E51" i="11"/>
  <c r="I33" i="11"/>
  <c r="I83" i="11"/>
  <c r="E35" i="11"/>
  <c r="I34" i="11"/>
  <c r="I69" i="11"/>
  <c r="I100" i="11"/>
  <c r="E69" i="11"/>
  <c r="I49" i="11"/>
  <c r="N45" i="11"/>
  <c r="E21" i="11"/>
  <c r="I11" i="11"/>
  <c r="L7" i="16"/>
  <c r="B17" i="11"/>
  <c r="B64" i="11"/>
  <c r="I4" i="11"/>
  <c r="E34" i="11"/>
  <c r="E11" i="11"/>
  <c r="B100" i="11"/>
  <c r="I39" i="11"/>
  <c r="T3" i="16"/>
  <c r="N60" i="11"/>
  <c r="I53" i="11"/>
  <c r="B8" i="11"/>
  <c r="I44" i="11"/>
  <c r="E70" i="11"/>
  <c r="E92" i="11"/>
  <c r="E29" i="11"/>
  <c r="I23" i="11"/>
  <c r="N48" i="11"/>
  <c r="N57" i="11"/>
  <c r="E57" i="11"/>
  <c r="B65" i="11"/>
  <c r="N51" i="11"/>
  <c r="B4" i="11"/>
  <c r="B99" i="11"/>
  <c r="N61" i="11"/>
  <c r="E25" i="11"/>
  <c r="E54" i="11"/>
  <c r="N38" i="11"/>
  <c r="B69" i="11"/>
  <c r="I96" i="11"/>
  <c r="I93" i="11"/>
  <c r="B51" i="11"/>
  <c r="N56" i="11"/>
  <c r="B62" i="11"/>
  <c r="E19" i="11"/>
  <c r="E28" i="11"/>
  <c r="N62" i="11"/>
  <c r="N54" i="11"/>
  <c r="N82" i="11"/>
  <c r="B6" i="11"/>
  <c r="I97" i="11"/>
  <c r="B41" i="11"/>
  <c r="N77" i="11"/>
  <c r="B39" i="11"/>
  <c r="I29" i="11"/>
  <c r="I6" i="11"/>
  <c r="B21" i="11"/>
  <c r="B46" i="11"/>
  <c r="B27" i="11"/>
  <c r="E14" i="11"/>
  <c r="M3" i="16"/>
  <c r="I43" i="11"/>
  <c r="I56" i="11"/>
  <c r="N6" i="11"/>
  <c r="B26" i="11"/>
  <c r="N83" i="11"/>
  <c r="E83" i="11"/>
  <c r="I57" i="11"/>
  <c r="B18" i="11"/>
  <c r="I55" i="11"/>
  <c r="N21" i="11"/>
  <c r="B84" i="11"/>
  <c r="E74" i="11"/>
  <c r="I13" i="11"/>
  <c r="N50" i="11"/>
  <c r="N81" i="11"/>
  <c r="I64" i="11"/>
  <c r="E15" i="11"/>
  <c r="E18" i="11"/>
  <c r="E8" i="11"/>
  <c r="E66" i="11"/>
  <c r="E39" i="11"/>
  <c r="E86" i="11"/>
  <c r="N71" i="11"/>
  <c r="E77" i="11"/>
  <c r="B96" i="11"/>
  <c r="N89" i="11"/>
  <c r="N97" i="11"/>
  <c r="B3" i="11"/>
  <c r="I54" i="11"/>
  <c r="I24" i="11"/>
  <c r="N9" i="11"/>
  <c r="N36" i="11"/>
  <c r="E60" i="11"/>
  <c r="B42" i="11"/>
  <c r="E82" i="11"/>
  <c r="B73" i="11"/>
  <c r="B48" i="11"/>
  <c r="N74" i="11"/>
  <c r="E47" i="11"/>
  <c r="I92" i="11"/>
  <c r="N76" i="11"/>
  <c r="M7" i="16"/>
  <c r="B61" i="11"/>
  <c r="Q7" i="16"/>
  <c r="N58" i="11"/>
  <c r="B53" i="11"/>
  <c r="E53" i="11"/>
  <c r="P10" i="16"/>
  <c r="E33" i="11"/>
  <c r="E71" i="11"/>
  <c r="I30" i="11"/>
  <c r="I98" i="11"/>
  <c r="B79" i="11"/>
  <c r="F100" i="11"/>
  <c r="B72" i="11"/>
  <c r="I68" i="11"/>
  <c r="I28" i="11"/>
  <c r="E79" i="11"/>
  <c r="E5" i="11"/>
  <c r="B55" i="11"/>
  <c r="I18" i="11"/>
  <c r="B90" i="11"/>
  <c r="I17" i="11"/>
  <c r="I14" i="11"/>
  <c r="N49" i="11"/>
  <c r="B44" i="11"/>
  <c r="N66" i="11"/>
  <c r="B57" i="11"/>
  <c r="N29" i="11"/>
  <c r="I63" i="11"/>
  <c r="B60" i="11"/>
  <c r="N98" i="11"/>
  <c r="M8" i="16"/>
  <c r="E89" i="11"/>
  <c r="B11" i="11"/>
  <c r="E3" i="11"/>
  <c r="I47" i="11"/>
  <c r="B54" i="11"/>
  <c r="E36" i="11"/>
  <c r="B75" i="11"/>
  <c r="I79" i="11"/>
  <c r="N30" i="11"/>
  <c r="I16" i="11"/>
  <c r="I58" i="11"/>
  <c r="N93" i="11"/>
  <c r="B78" i="11"/>
  <c r="E44" i="11"/>
  <c r="I51" i="11"/>
  <c r="B89" i="11"/>
  <c r="B10" i="11"/>
  <c r="E45" i="11"/>
  <c r="N68" i="11"/>
  <c r="L8" i="16"/>
  <c r="N67" i="11"/>
  <c r="N3" i="11"/>
  <c r="T7" i="16"/>
  <c r="I3" i="11"/>
  <c r="N3" i="16"/>
  <c r="N8" i="11"/>
  <c r="B25" i="11"/>
  <c r="P8" i="16"/>
  <c r="B71" i="11"/>
  <c r="N41" i="11"/>
  <c r="I52" i="11"/>
  <c r="I60" i="11"/>
  <c r="I37" i="11"/>
  <c r="I72" i="11"/>
  <c r="B5" i="11"/>
  <c r="B45" i="11"/>
  <c r="E32" i="11"/>
  <c r="B83" i="11"/>
  <c r="E95" i="11"/>
  <c r="E4" i="11"/>
  <c r="E90" i="11"/>
  <c r="E94" i="11"/>
  <c r="I88" i="11"/>
  <c r="N70" i="11"/>
  <c r="B7" i="11"/>
  <c r="N40" i="11"/>
  <c r="N84" i="11"/>
  <c r="F99" i="11"/>
  <c r="N7" i="16"/>
  <c r="N26" i="11"/>
  <c r="N28" i="11"/>
  <c r="E26" i="11"/>
  <c r="E87" i="11"/>
  <c r="I7" i="11"/>
  <c r="B24" i="11"/>
  <c r="N72" i="11"/>
  <c r="B36" i="11"/>
  <c r="N43" i="11"/>
  <c r="I31" i="11"/>
  <c r="N31" i="11"/>
  <c r="B77" i="11"/>
  <c r="L10" i="16"/>
  <c r="I9" i="11"/>
  <c r="I71" i="11"/>
  <c r="I62" i="11"/>
  <c r="E23" i="11"/>
  <c r="E73" i="11"/>
  <c r="I19" i="11"/>
  <c r="B98" i="11"/>
  <c r="N80" i="11"/>
  <c r="E80" i="11"/>
  <c r="I41" i="11"/>
  <c r="B29" i="11"/>
  <c r="B38" i="11"/>
  <c r="E46" i="11"/>
  <c r="B91" i="11"/>
  <c r="I78" i="11"/>
  <c r="I20" i="11"/>
  <c r="N88" i="11"/>
  <c r="N7" i="11"/>
  <c r="B80" i="11"/>
  <c r="N96" i="11"/>
  <c r="I74" i="11"/>
  <c r="E38" i="11"/>
  <c r="E99" i="11"/>
  <c r="E72" i="11"/>
  <c r="B92" i="11"/>
  <c r="E9" i="11"/>
  <c r="N16" i="11"/>
  <c r="N85" i="11"/>
  <c r="N63" i="11"/>
  <c r="N59" i="11"/>
  <c r="I91" i="11"/>
  <c r="B28" i="11"/>
  <c r="N90" i="11"/>
  <c r="N32" i="11"/>
  <c r="N91" i="11"/>
  <c r="B35" i="11"/>
  <c r="B15" i="11"/>
  <c r="I35" i="11"/>
  <c r="B74" i="11"/>
  <c r="T8" i="16"/>
  <c r="B94" i="11"/>
  <c r="N24" i="11"/>
  <c r="I32" i="11"/>
  <c r="E48" i="11"/>
  <c r="B95" i="11"/>
  <c r="B20" i="11"/>
  <c r="I45" i="11"/>
  <c r="I46" i="11"/>
  <c r="I77" i="11"/>
  <c r="N33" i="11"/>
  <c r="N14" i="11"/>
  <c r="E13" i="11"/>
  <c r="N20" i="11"/>
  <c r="N22" i="11"/>
  <c r="N4" i="11"/>
  <c r="E43" i="11"/>
  <c r="N8" i="16"/>
  <c r="N37" i="11"/>
  <c r="I36" i="11"/>
  <c r="E37" i="11"/>
  <c r="B56" i="11"/>
  <c r="T10" i="16"/>
  <c r="B40" i="11"/>
  <c r="I82" i="11"/>
  <c r="N17" i="11"/>
  <c r="E30" i="11"/>
  <c r="N94" i="11"/>
  <c r="E64" i="11"/>
  <c r="I76" i="11"/>
  <c r="N10" i="16"/>
  <c r="E100" i="11"/>
  <c r="E40" i="11"/>
  <c r="N95" i="11"/>
  <c r="E6" i="11"/>
  <c r="N11" i="11"/>
  <c r="B97" i="11"/>
  <c r="E52" i="11"/>
  <c r="N69" i="11"/>
  <c r="B68" i="11"/>
  <c r="B47" i="11"/>
  <c r="N15" i="11"/>
  <c r="E68" i="11"/>
  <c r="I65" i="11"/>
  <c r="I87" i="11"/>
  <c r="I90" i="11"/>
  <c r="E91" i="11"/>
  <c r="B14" i="11"/>
  <c r="B31" i="11"/>
  <c r="E17" i="11"/>
  <c r="E75" i="11"/>
  <c r="I67" i="11"/>
  <c r="B13" i="11"/>
  <c r="I21" i="11"/>
  <c r="B12" i="11"/>
  <c r="B34" i="11"/>
  <c r="E24" i="11"/>
  <c r="N53" i="11"/>
  <c r="N25" i="11"/>
  <c r="I25" i="11"/>
  <c r="B81" i="11"/>
  <c r="E67" i="11"/>
  <c r="N27" i="11"/>
  <c r="E31" i="11"/>
  <c r="E59" i="11"/>
  <c r="B70" i="11"/>
  <c r="B32" i="11"/>
  <c r="I84" i="11"/>
  <c r="N52" i="11"/>
  <c r="N18" i="11"/>
  <c r="I85" i="11"/>
  <c r="N55" i="11"/>
  <c r="E50" i="11"/>
  <c r="E84" i="11"/>
  <c r="B76" i="11"/>
  <c r="B88" i="11"/>
  <c r="I26" i="11"/>
  <c r="N42" i="11"/>
  <c r="B82" i="11"/>
  <c r="I27" i="11"/>
  <c r="B30" i="11"/>
  <c r="N100" i="11"/>
  <c r="M10" i="16"/>
  <c r="E12" i="11"/>
  <c r="E16" i="11"/>
  <c r="Q10" i="16"/>
  <c r="E96" i="11"/>
  <c r="N34" i="11"/>
  <c r="N46" i="11"/>
  <c r="E85" i="11"/>
  <c r="I10" i="11"/>
  <c r="P7" i="16"/>
  <c r="E49" i="11"/>
  <c r="I95" i="11"/>
  <c r="I66" i="11"/>
  <c r="B52" i="11"/>
  <c r="Q3" i="16"/>
  <c r="N73" i="11"/>
  <c r="B22" i="11"/>
  <c r="B50" i="11"/>
  <c r="B93" i="11"/>
  <c r="I99" i="11"/>
  <c r="E61" i="11"/>
  <c r="I42" i="11"/>
  <c r="E93" i="11"/>
  <c r="B87" i="11"/>
  <c r="E63" i="11"/>
  <c r="B19" i="11"/>
  <c r="I22" i="11"/>
  <c r="B23" i="11"/>
  <c r="E27" i="11"/>
  <c r="I89" i="11"/>
  <c r="E78" i="11"/>
  <c r="E55" i="11"/>
  <c r="I61" i="11"/>
  <c r="I70" i="11"/>
  <c r="B33" i="11"/>
  <c r="E22" i="11"/>
  <c r="I48" i="11"/>
  <c r="N86" i="11"/>
  <c r="E20" i="11"/>
  <c r="B37" i="11"/>
  <c r="I50" i="11"/>
  <c r="E88" i="11"/>
  <c r="I12" i="11"/>
  <c r="E65" i="11"/>
  <c r="N75" i="11"/>
  <c r="I8" i="11"/>
  <c r="I40" i="11"/>
  <c r="B16" i="11"/>
  <c r="N87" i="11"/>
  <c r="N35" i="11"/>
  <c r="I59" i="11"/>
  <c r="E56" i="11"/>
  <c r="N79" i="11"/>
  <c r="B9" i="11"/>
  <c r="B59" i="11"/>
  <c r="B58" i="11"/>
  <c r="B43" i="11"/>
  <c r="E98" i="11"/>
  <c r="N12" i="11"/>
  <c r="N47" i="11"/>
  <c r="I94" i="11"/>
  <c r="N64" i="11"/>
  <c r="N10" i="11"/>
  <c r="I5" i="11"/>
  <c r="I38" i="11"/>
  <c r="E58" i="11"/>
  <c r="N19" i="11"/>
  <c r="B63" i="11"/>
  <c r="N78" i="11"/>
  <c r="I75" i="11"/>
  <c r="I86" i="11"/>
  <c r="E62" i="11"/>
  <c r="I81" i="11"/>
  <c r="E42" i="11"/>
  <c r="E97" i="11"/>
  <c r="B66" i="11"/>
  <c r="E76" i="11"/>
  <c r="N13" i="11"/>
  <c r="B86" i="11"/>
  <c r="I73" i="11"/>
  <c r="E7" i="11"/>
  <c r="N23" i="11"/>
  <c r="B67" i="11"/>
  <c r="N99" i="11"/>
  <c r="E10" i="11"/>
  <c r="B49" i="11"/>
  <c r="N92" i="11"/>
  <c r="I80" i="11"/>
  <c r="P3" i="16"/>
  <c r="E41" i="11"/>
  <c r="N39" i="11"/>
  <c r="N65" i="11"/>
  <c r="L3" i="16"/>
  <c r="Q305" i="11" l="1"/>
  <c r="R305" i="11" s="1"/>
  <c r="AJ78" i="11"/>
  <c r="AJ83" i="11"/>
  <c r="AJ35" i="11"/>
  <c r="S76" i="11"/>
  <c r="AJ60" i="11"/>
  <c r="S86" i="11"/>
  <c r="AJ92" i="11"/>
  <c r="S21" i="11"/>
  <c r="AJ36" i="11"/>
  <c r="AJ45" i="11"/>
  <c r="AJ67" i="11"/>
  <c r="O8" i="16"/>
  <c r="S29" i="11"/>
  <c r="S93" i="11"/>
  <c r="S27" i="11"/>
  <c r="S84" i="11"/>
  <c r="AJ17" i="11"/>
  <c r="AJ81" i="11"/>
  <c r="AJ74" i="11"/>
  <c r="S78" i="11"/>
  <c r="AJ23" i="11"/>
  <c r="S5" i="11"/>
  <c r="AJ50" i="11"/>
  <c r="AJ57" i="11"/>
  <c r="S56" i="11"/>
  <c r="AJ88" i="11"/>
  <c r="S62" i="11"/>
  <c r="B101" i="11"/>
  <c r="AJ85" i="11"/>
  <c r="S14" i="11"/>
  <c r="AJ97" i="11"/>
  <c r="S98" i="11"/>
  <c r="S59" i="11"/>
  <c r="S46" i="11"/>
  <c r="S71" i="11"/>
  <c r="S17" i="11"/>
  <c r="AJ25" i="11"/>
  <c r="AJ91" i="11"/>
  <c r="AJ55" i="11"/>
  <c r="AJ86" i="11"/>
  <c r="AJ73" i="11"/>
  <c r="AJ33" i="11"/>
  <c r="AJ82" i="11"/>
  <c r="AJ43" i="11"/>
  <c r="AJ54" i="11"/>
  <c r="AJ37" i="11"/>
  <c r="S85" i="11"/>
  <c r="S81" i="11"/>
  <c r="AJ84" i="11"/>
  <c r="AJ66" i="11"/>
  <c r="S91" i="11"/>
  <c r="S66" i="11"/>
  <c r="S11" i="11"/>
  <c r="AJ38" i="11"/>
  <c r="S16" i="11"/>
  <c r="S19" i="11"/>
  <c r="AJ70" i="11"/>
  <c r="S69" i="11"/>
  <c r="AJ96" i="11"/>
  <c r="S68" i="11"/>
  <c r="AJ8" i="11"/>
  <c r="S95" i="11"/>
  <c r="AJ39" i="11"/>
  <c r="S32" i="11"/>
  <c r="S25" i="11"/>
  <c r="S48" i="11"/>
  <c r="S89" i="11"/>
  <c r="S87" i="11"/>
  <c r="S49" i="11"/>
  <c r="AJ51" i="11"/>
  <c r="S43" i="11"/>
  <c r="AJ16" i="11"/>
  <c r="S38" i="11"/>
  <c r="S80" i="11"/>
  <c r="AJ9" i="11"/>
  <c r="AJ52" i="11"/>
  <c r="S33" i="11"/>
  <c r="S60" i="11"/>
  <c r="S51" i="11"/>
  <c r="AJ11" i="11"/>
  <c r="AJ89" i="11"/>
  <c r="AJ87" i="11"/>
  <c r="S83" i="11"/>
  <c r="S97" i="11"/>
  <c r="S13" i="11"/>
  <c r="S94" i="11"/>
  <c r="AJ90" i="11"/>
  <c r="S44" i="11"/>
  <c r="AJ72" i="11"/>
  <c r="AJ26" i="11"/>
  <c r="AJ13" i="11"/>
  <c r="S23" i="11"/>
  <c r="AJ21" i="11"/>
  <c r="AJ47" i="11"/>
  <c r="AJ34" i="11"/>
  <c r="S34" i="11"/>
  <c r="AJ44" i="11"/>
  <c r="AJ64" i="11"/>
  <c r="S61" i="11"/>
  <c r="S45" i="11"/>
  <c r="S54" i="11"/>
  <c r="S70" i="11"/>
  <c r="AJ48" i="11"/>
  <c r="S58" i="11"/>
  <c r="AJ10" i="11"/>
  <c r="S40" i="11"/>
  <c r="AJ98" i="11"/>
  <c r="S72" i="11"/>
  <c r="AJ20" i="11"/>
  <c r="AJ80" i="11"/>
  <c r="S22" i="11"/>
  <c r="S52" i="11"/>
  <c r="S64" i="11"/>
  <c r="AJ94" i="11"/>
  <c r="S82" i="11"/>
  <c r="S6" i="11"/>
  <c r="S18" i="11"/>
  <c r="AJ22" i="11"/>
  <c r="S4" i="11"/>
  <c r="S26" i="11"/>
  <c r="Q27" i="11"/>
  <c r="AJ58" i="11"/>
  <c r="AJ100" i="11"/>
  <c r="AJ19" i="11"/>
  <c r="AJ99" i="11"/>
  <c r="S90" i="11"/>
  <c r="S9" i="11"/>
  <c r="AJ29" i="11"/>
  <c r="S35" i="11"/>
  <c r="S28" i="11"/>
  <c r="AJ27" i="11"/>
  <c r="AJ71" i="11"/>
  <c r="S7" i="11"/>
  <c r="S53" i="11"/>
  <c r="AJ61" i="11"/>
  <c r="AJ15" i="11"/>
  <c r="AJ68" i="11"/>
  <c r="R8" i="16"/>
  <c r="Q8" i="16"/>
  <c r="S63" i="11"/>
  <c r="S42" i="11"/>
  <c r="AJ24" i="11"/>
  <c r="AJ63" i="11"/>
  <c r="S15" i="11"/>
  <c r="AJ69" i="11"/>
  <c r="AJ77" i="11"/>
  <c r="S79" i="11"/>
  <c r="AJ56" i="11"/>
  <c r="AJ79" i="11"/>
  <c r="S92" i="11"/>
  <c r="AJ12" i="11"/>
  <c r="AJ30" i="11"/>
  <c r="AJ14" i="11"/>
  <c r="S20" i="11"/>
  <c r="AJ32" i="11"/>
  <c r="AJ31" i="11"/>
  <c r="AJ46" i="11"/>
  <c r="S74" i="11"/>
  <c r="AJ6" i="11"/>
  <c r="R10" i="16"/>
  <c r="AJ4" i="11"/>
  <c r="S65" i="11"/>
  <c r="AJ49" i="11"/>
  <c r="S8" i="11"/>
  <c r="S8" i="16"/>
  <c r="AJ59" i="11"/>
  <c r="AJ18" i="11"/>
  <c r="S3" i="11"/>
  <c r="E101" i="11"/>
  <c r="S99" i="11"/>
  <c r="AJ76" i="11"/>
  <c r="S55" i="11"/>
  <c r="AJ95" i="11"/>
  <c r="AJ65" i="11"/>
  <c r="S30" i="11"/>
  <c r="S37" i="11"/>
  <c r="S47" i="11"/>
  <c r="AJ62" i="11"/>
  <c r="S88" i="11"/>
  <c r="S73" i="11"/>
  <c r="S57" i="11"/>
  <c r="AJ42" i="11"/>
  <c r="S41" i="11"/>
  <c r="S100" i="11"/>
  <c r="AJ7" i="11"/>
  <c r="S50" i="11"/>
  <c r="AJ75" i="11"/>
  <c r="AJ5" i="11"/>
  <c r="S10" i="11"/>
  <c r="AJ3" i="11"/>
  <c r="S36" i="11"/>
  <c r="S77" i="11"/>
  <c r="S39" i="11"/>
  <c r="AJ40" i="11"/>
  <c r="AJ53" i="11"/>
  <c r="S75" i="11"/>
  <c r="S67" i="11"/>
  <c r="AJ93" i="11"/>
  <c r="AJ28" i="11"/>
  <c r="S24" i="11"/>
  <c r="S12" i="11"/>
  <c r="AJ41" i="11"/>
  <c r="S31" i="11"/>
  <c r="S96" i="11"/>
  <c r="N306" i="11"/>
  <c r="P306" i="11"/>
  <c r="O306" i="11"/>
  <c r="L306" i="11"/>
  <c r="M306" i="11"/>
  <c r="J306" i="11"/>
  <c r="O307" i="11"/>
  <c r="M307" i="11"/>
  <c r="L307" i="11"/>
  <c r="J307" i="11"/>
  <c r="P307" i="11"/>
  <c r="N307" i="11"/>
  <c r="B102" i="11"/>
  <c r="E102" i="11"/>
  <c r="B103" i="11" l="1"/>
  <c r="E103" i="11"/>
  <c r="Q306" i="11"/>
  <c r="R306" i="11" s="1"/>
  <c r="L309" i="11"/>
  <c r="P9" i="11" s="1"/>
  <c r="Q307" i="11"/>
  <c r="R307" i="11" s="1"/>
  <c r="L310" i="11"/>
  <c r="M310" i="11"/>
  <c r="M309" i="11"/>
  <c r="P10" i="11" s="1"/>
  <c r="O310" i="11"/>
  <c r="O309" i="11"/>
  <c r="S102" i="11"/>
  <c r="S101" i="11"/>
  <c r="P310" i="11"/>
  <c r="P309" i="11"/>
  <c r="P13" i="11" s="1"/>
  <c r="N309" i="11"/>
  <c r="P11" i="11" s="1"/>
  <c r="N310" i="11"/>
  <c r="H99" i="11" l="1"/>
  <c r="H100" i="11"/>
  <c r="T293" i="11"/>
  <c r="T277" i="11"/>
  <c r="T261" i="11"/>
  <c r="T245" i="11"/>
  <c r="T229" i="11"/>
  <c r="T213" i="11"/>
  <c r="T197" i="11"/>
  <c r="T292" i="11"/>
  <c r="T276" i="11"/>
  <c r="T260" i="11"/>
  <c r="T244" i="11"/>
  <c r="T228" i="11"/>
  <c r="T212" i="11"/>
  <c r="T196" i="11"/>
  <c r="T291" i="11"/>
  <c r="T275" i="11"/>
  <c r="T259" i="11"/>
  <c r="T243" i="11"/>
  <c r="T227" i="11"/>
  <c r="T211" i="11"/>
  <c r="T195" i="11"/>
  <c r="T290" i="11"/>
  <c r="T274" i="11"/>
  <c r="T258" i="11"/>
  <c r="T242" i="11"/>
  <c r="T226" i="11"/>
  <c r="T210" i="11"/>
  <c r="T194" i="11"/>
  <c r="T222" i="11"/>
  <c r="T215" i="11"/>
  <c r="T198" i="11"/>
  <c r="T289" i="11"/>
  <c r="T273" i="11"/>
  <c r="T257" i="11"/>
  <c r="T241" i="11"/>
  <c r="T225" i="11"/>
  <c r="T209" i="11"/>
  <c r="T288" i="11"/>
  <c r="T272" i="11"/>
  <c r="T256" i="11"/>
  <c r="T240" i="11"/>
  <c r="T224" i="11"/>
  <c r="T208" i="11"/>
  <c r="T287" i="11"/>
  <c r="T271" i="11"/>
  <c r="T255" i="11"/>
  <c r="T239" i="11"/>
  <c r="T223" i="11"/>
  <c r="T207" i="11"/>
  <c r="T286" i="11"/>
  <c r="T270" i="11"/>
  <c r="T254" i="11"/>
  <c r="T238" i="11"/>
  <c r="T206" i="11"/>
  <c r="T294" i="11"/>
  <c r="T285" i="11"/>
  <c r="T269" i="11"/>
  <c r="T253" i="11"/>
  <c r="T237" i="11"/>
  <c r="T221" i="11"/>
  <c r="T205" i="11"/>
  <c r="T284" i="11"/>
  <c r="T268" i="11"/>
  <c r="T252" i="11"/>
  <c r="T220" i="11"/>
  <c r="T204" i="11"/>
  <c r="T251" i="11"/>
  <c r="T203" i="11"/>
  <c r="T280" i="11"/>
  <c r="T200" i="11"/>
  <c r="T231" i="11"/>
  <c r="T278" i="11"/>
  <c r="T236" i="11"/>
  <c r="T248" i="11"/>
  <c r="T295" i="11"/>
  <c r="T230" i="11"/>
  <c r="T283" i="11"/>
  <c r="T267" i="11"/>
  <c r="T235" i="11"/>
  <c r="T219" i="11"/>
  <c r="T232" i="11"/>
  <c r="T263" i="11"/>
  <c r="T199" i="11"/>
  <c r="T246" i="11"/>
  <c r="T282" i="11"/>
  <c r="T266" i="11"/>
  <c r="T250" i="11"/>
  <c r="T234" i="11"/>
  <c r="T218" i="11"/>
  <c r="T202" i="11"/>
  <c r="T264" i="11"/>
  <c r="T279" i="11"/>
  <c r="T214" i="11"/>
  <c r="T281" i="11"/>
  <c r="T265" i="11"/>
  <c r="T249" i="11"/>
  <c r="T233" i="11"/>
  <c r="T217" i="11"/>
  <c r="T201" i="11"/>
  <c r="T216" i="11"/>
  <c r="T247" i="11"/>
  <c r="T262" i="11"/>
  <c r="P12" i="11"/>
  <c r="H4" i="14" s="1"/>
  <c r="L311" i="11"/>
  <c r="Q9" i="11" s="1"/>
  <c r="C4" i="14" s="1"/>
  <c r="N311" i="11"/>
  <c r="Q11" i="11" s="1"/>
  <c r="G4" i="14" s="1"/>
  <c r="M311" i="11"/>
  <c r="Q10" i="11" s="1"/>
  <c r="E4" i="14" s="1"/>
  <c r="O311" i="11"/>
  <c r="Q12" i="11" s="1"/>
  <c r="I4" i="14" s="1"/>
  <c r="S103" i="11"/>
  <c r="S105" i="11"/>
  <c r="S104" i="11"/>
  <c r="P311" i="11"/>
  <c r="Q13" i="11" s="1"/>
  <c r="K4" i="14" s="1"/>
  <c r="P15" i="11"/>
  <c r="N4" i="14" s="1"/>
  <c r="J4" i="14"/>
  <c r="D4" i="14"/>
  <c r="R78" i="11"/>
  <c r="R92" i="11"/>
  <c r="R16" i="11"/>
  <c r="R95" i="11"/>
  <c r="R59" i="11"/>
  <c r="R25" i="11"/>
  <c r="R99" i="11"/>
  <c r="R11" i="11"/>
  <c r="R98" i="11"/>
  <c r="R41" i="11"/>
  <c r="R85" i="11"/>
  <c r="R34" i="11"/>
  <c r="R32" i="11"/>
  <c r="R14" i="11"/>
  <c r="R51" i="11"/>
  <c r="R81" i="11"/>
  <c r="R53" i="11"/>
  <c r="R55" i="11"/>
  <c r="R96" i="11"/>
  <c r="R24" i="11"/>
  <c r="R97" i="11"/>
  <c r="R27" i="11"/>
  <c r="R39" i="11"/>
  <c r="R66" i="11"/>
  <c r="R67" i="11"/>
  <c r="R45" i="11"/>
  <c r="R31" i="11"/>
  <c r="R9" i="11"/>
  <c r="R5" i="11"/>
  <c r="R56" i="11"/>
  <c r="R46" i="11"/>
  <c r="R64" i="11"/>
  <c r="R69" i="11"/>
  <c r="R62" i="11"/>
  <c r="R8" i="11"/>
  <c r="R28" i="11"/>
  <c r="R19" i="11"/>
  <c r="R30" i="11"/>
  <c r="R42" i="11"/>
  <c r="R79" i="11"/>
  <c r="R6" i="11"/>
  <c r="R82" i="11"/>
  <c r="R91" i="11"/>
  <c r="R23" i="11"/>
  <c r="R72" i="11"/>
  <c r="R47" i="11"/>
  <c r="R71" i="11"/>
  <c r="R80" i="11"/>
  <c r="R75" i="11"/>
  <c r="R86" i="11"/>
  <c r="R38" i="11"/>
  <c r="R60" i="11"/>
  <c r="R70" i="11"/>
  <c r="R48" i="11"/>
  <c r="R18" i="11"/>
  <c r="R76" i="11"/>
  <c r="R10" i="11"/>
  <c r="R17" i="11"/>
  <c r="R33" i="11"/>
  <c r="R43" i="11"/>
  <c r="R74" i="11"/>
  <c r="R20" i="11"/>
  <c r="R63" i="11"/>
  <c r="R84" i="11"/>
  <c r="R35" i="11"/>
  <c r="R44" i="11"/>
  <c r="R29" i="11"/>
  <c r="R54" i="11"/>
  <c r="R83" i="11"/>
  <c r="R13" i="11"/>
  <c r="R77" i="11"/>
  <c r="R26" i="11"/>
  <c r="R65" i="11"/>
  <c r="R88" i="11"/>
  <c r="R36" i="11"/>
  <c r="R15" i="11"/>
  <c r="R61" i="11"/>
  <c r="R3" i="11"/>
  <c r="R68" i="11"/>
  <c r="R58" i="11"/>
  <c r="R37" i="11"/>
  <c r="R49" i="11"/>
  <c r="R7" i="11"/>
  <c r="R52" i="11"/>
  <c r="R57" i="11"/>
  <c r="R12" i="11"/>
  <c r="R50" i="11"/>
  <c r="R100" i="11"/>
  <c r="R89" i="11"/>
  <c r="R73" i="11"/>
  <c r="R21" i="11"/>
  <c r="R87" i="11"/>
  <c r="R93" i="11"/>
  <c r="R22" i="11"/>
  <c r="R40" i="11"/>
  <c r="R4" i="11"/>
  <c r="R94" i="11"/>
  <c r="R90" i="11"/>
  <c r="R309" i="11"/>
  <c r="R310" i="11"/>
  <c r="Q309" i="11"/>
  <c r="Q310" i="11"/>
  <c r="F4" i="14"/>
  <c r="B4" i="14"/>
  <c r="A61" i="11"/>
  <c r="A30" i="11"/>
  <c r="C24" i="11"/>
  <c r="C3" i="11"/>
  <c r="C50" i="11"/>
  <c r="A10" i="11"/>
  <c r="A92" i="11"/>
  <c r="C13" i="11"/>
  <c r="A80" i="11"/>
  <c r="C65" i="11"/>
  <c r="C17" i="11"/>
  <c r="C99" i="11"/>
  <c r="A82" i="11"/>
  <c r="A36" i="11"/>
  <c r="A52" i="11"/>
  <c r="A5" i="11"/>
  <c r="C84" i="11"/>
  <c r="C76" i="11"/>
  <c r="A31" i="11"/>
  <c r="C88" i="11"/>
  <c r="A22" i="11"/>
  <c r="A23" i="11"/>
  <c r="C25" i="11"/>
  <c r="C8" i="11"/>
  <c r="A54" i="11"/>
  <c r="A68" i="11"/>
  <c r="C67" i="11"/>
  <c r="C31" i="11"/>
  <c r="C59" i="11"/>
  <c r="C77" i="11"/>
  <c r="C100" i="11"/>
  <c r="A41" i="11"/>
  <c r="A26" i="11"/>
  <c r="A83" i="11"/>
  <c r="A98" i="11"/>
  <c r="C41" i="11"/>
  <c r="A76" i="11"/>
  <c r="A28" i="11"/>
  <c r="C44" i="11"/>
  <c r="C30" i="11"/>
  <c r="C89" i="11"/>
  <c r="A21" i="11"/>
  <c r="C42" i="11"/>
  <c r="C71" i="11"/>
  <c r="A50" i="11"/>
  <c r="A99" i="11"/>
  <c r="C40" i="11"/>
  <c r="C51" i="11"/>
  <c r="C86" i="11"/>
  <c r="C82" i="11"/>
  <c r="A8" i="11"/>
  <c r="A37" i="11"/>
  <c r="A44" i="11"/>
  <c r="A24" i="11"/>
  <c r="C80" i="11"/>
  <c r="A6" i="11"/>
  <c r="A40" i="11"/>
  <c r="C64" i="11"/>
  <c r="C95" i="11"/>
  <c r="C27" i="11"/>
  <c r="C14" i="11"/>
  <c r="C22" i="11"/>
  <c r="C5" i="11"/>
  <c r="C56" i="11"/>
  <c r="A78" i="11"/>
  <c r="C37" i="11"/>
  <c r="A66" i="11"/>
  <c r="A18" i="11"/>
  <c r="A71" i="11"/>
  <c r="A49" i="11"/>
  <c r="A29" i="11"/>
  <c r="A35" i="11"/>
  <c r="C91" i="11"/>
  <c r="A89" i="11"/>
  <c r="C48" i="11"/>
  <c r="C29" i="11"/>
  <c r="A32" i="11"/>
  <c r="C60" i="11"/>
  <c r="A69" i="11"/>
  <c r="A43" i="11"/>
  <c r="C32" i="11"/>
  <c r="A47" i="11"/>
  <c r="C45" i="11"/>
  <c r="A19" i="11"/>
  <c r="A34" i="11"/>
  <c r="A81" i="11"/>
  <c r="C70" i="11"/>
  <c r="C6" i="11"/>
  <c r="C94" i="11"/>
  <c r="C79" i="11"/>
  <c r="C78" i="11"/>
  <c r="C68" i="11"/>
  <c r="C39" i="11"/>
  <c r="C83" i="11"/>
  <c r="C7" i="11"/>
  <c r="A88" i="11"/>
  <c r="A95" i="11"/>
  <c r="A65" i="11"/>
  <c r="C20" i="11"/>
  <c r="C34" i="11"/>
  <c r="C97" i="11"/>
  <c r="A87" i="11"/>
  <c r="C15" i="11"/>
  <c r="A15" i="11"/>
  <c r="A91" i="11"/>
  <c r="C12" i="11"/>
  <c r="A48" i="11"/>
  <c r="C75" i="11"/>
  <c r="A12" i="11"/>
  <c r="A85" i="11"/>
  <c r="A58" i="11"/>
  <c r="A7" i="11"/>
  <c r="A57" i="11"/>
  <c r="A94" i="11"/>
  <c r="A70" i="11"/>
  <c r="C19" i="11"/>
  <c r="A17" i="11"/>
  <c r="A67" i="11"/>
  <c r="C62" i="11"/>
  <c r="A38" i="11"/>
  <c r="C58" i="11"/>
  <c r="C33" i="11"/>
  <c r="A59" i="11"/>
  <c r="A62" i="11"/>
  <c r="C46" i="11"/>
  <c r="A42" i="11"/>
  <c r="C28" i="11"/>
  <c r="A46" i="11"/>
  <c r="A75" i="11"/>
  <c r="A73" i="11"/>
  <c r="C87" i="11"/>
  <c r="A33" i="11"/>
  <c r="C36" i="11"/>
  <c r="C9" i="11"/>
  <c r="C53" i="11"/>
  <c r="A63" i="11"/>
  <c r="C10" i="11"/>
  <c r="C49" i="11"/>
  <c r="A11" i="11"/>
  <c r="A79" i="11"/>
  <c r="C52" i="11"/>
  <c r="A100" i="11"/>
  <c r="C18" i="11"/>
  <c r="A97" i="11"/>
  <c r="C72" i="11"/>
  <c r="C63" i="11"/>
  <c r="C61" i="11"/>
  <c r="A84" i="11"/>
  <c r="C81" i="11"/>
  <c r="C85" i="11"/>
  <c r="A13" i="11"/>
  <c r="A25" i="11"/>
  <c r="C66" i="11"/>
  <c r="A16" i="11"/>
  <c r="C54" i="11"/>
  <c r="A27" i="11"/>
  <c r="C23" i="11"/>
  <c r="A72" i="11"/>
  <c r="C92" i="11"/>
  <c r="A20" i="11"/>
  <c r="A96" i="11"/>
  <c r="C47" i="11"/>
  <c r="C11" i="11"/>
  <c r="A4" i="11"/>
  <c r="A90" i="11"/>
  <c r="A45" i="11"/>
  <c r="C98" i="11"/>
  <c r="C57" i="11"/>
  <c r="A77" i="11"/>
  <c r="A3" i="11"/>
  <c r="A51" i="11"/>
  <c r="C21" i="11"/>
  <c r="C38" i="11"/>
  <c r="C16" i="11"/>
  <c r="A9" i="11"/>
  <c r="A86" i="11"/>
  <c r="A56" i="11"/>
  <c r="A93" i="11"/>
  <c r="C4" i="11"/>
  <c r="C74" i="11"/>
  <c r="C93" i="11"/>
  <c r="A39" i="11"/>
  <c r="C43" i="11"/>
  <c r="A64" i="11"/>
  <c r="C55" i="11"/>
  <c r="C73" i="11"/>
  <c r="C90" i="11"/>
  <c r="C69" i="11"/>
  <c r="C35" i="11"/>
  <c r="A53" i="11"/>
  <c r="A60" i="11"/>
  <c r="C96" i="11"/>
  <c r="C26" i="11"/>
  <c r="A55" i="11"/>
  <c r="A74" i="11"/>
  <c r="A14" i="11"/>
  <c r="J99" i="11" l="1"/>
  <c r="D47" i="11"/>
  <c r="G47" i="11" s="1"/>
  <c r="D71" i="11"/>
  <c r="G71" i="11" s="1"/>
  <c r="D38" i="11"/>
  <c r="G38" i="11" s="1"/>
  <c r="D44" i="11"/>
  <c r="G44" i="11" s="1"/>
  <c r="D61" i="11"/>
  <c r="G61" i="11" s="1"/>
  <c r="D51" i="11"/>
  <c r="G51" i="11" s="1"/>
  <c r="D81" i="11"/>
  <c r="G81" i="11" s="1"/>
  <c r="D28" i="11"/>
  <c r="G28" i="11" s="1"/>
  <c r="D34" i="11"/>
  <c r="G34" i="11" s="1"/>
  <c r="D72" i="11"/>
  <c r="G72" i="11" s="1"/>
  <c r="D59" i="11"/>
  <c r="G59" i="11" s="1"/>
  <c r="D35" i="11"/>
  <c r="G35" i="11" s="1"/>
  <c r="D43" i="11"/>
  <c r="G43" i="11" s="1"/>
  <c r="D87" i="11"/>
  <c r="G87" i="11" s="1"/>
  <c r="D30" i="11"/>
  <c r="G30" i="11" s="1"/>
  <c r="D70" i="11"/>
  <c r="G70" i="11" s="1"/>
  <c r="D57" i="11"/>
  <c r="G57" i="11" s="1"/>
  <c r="D19" i="11"/>
  <c r="G19" i="11" s="1"/>
  <c r="D98" i="11"/>
  <c r="G98" i="11" s="1"/>
  <c r="D40" i="11"/>
  <c r="G40" i="11" s="1"/>
  <c r="D25" i="11"/>
  <c r="G25" i="11" s="1"/>
  <c r="D68" i="11"/>
  <c r="G68" i="11" s="1"/>
  <c r="D55" i="11"/>
  <c r="G55" i="11" s="1"/>
  <c r="D3" i="11"/>
  <c r="G3" i="11" s="1"/>
  <c r="D31" i="11"/>
  <c r="G31" i="11" s="1"/>
  <c r="D36" i="11"/>
  <c r="G36" i="11" s="1"/>
  <c r="D15" i="11"/>
  <c r="G15" i="11" s="1"/>
  <c r="D66" i="11"/>
  <c r="G66" i="11" s="1"/>
  <c r="D53" i="11"/>
  <c r="G53" i="11" s="1"/>
  <c r="D12" i="11"/>
  <c r="G12" i="11" s="1"/>
  <c r="D79" i="11"/>
  <c r="G79" i="11" s="1"/>
  <c r="D80" i="11"/>
  <c r="G80" i="11" s="1"/>
  <c r="D4" i="11"/>
  <c r="G4" i="11" s="1"/>
  <c r="D64" i="11"/>
  <c r="G64" i="11" s="1"/>
  <c r="D20" i="11"/>
  <c r="G20" i="11" s="1"/>
  <c r="D90" i="11"/>
  <c r="G90" i="11" s="1"/>
  <c r="D45" i="11"/>
  <c r="G45" i="11" s="1"/>
  <c r="D77" i="11"/>
  <c r="G77" i="11" s="1"/>
  <c r="D85" i="11"/>
  <c r="G85" i="11" s="1"/>
  <c r="D62" i="11"/>
  <c r="G62" i="11" s="1"/>
  <c r="D6" i="11"/>
  <c r="G6" i="11" s="1"/>
  <c r="D74" i="11"/>
  <c r="G74" i="11" s="1"/>
  <c r="D96" i="11"/>
  <c r="G96" i="11" s="1"/>
  <c r="D27" i="11"/>
  <c r="G27" i="11" s="1"/>
  <c r="D49" i="11"/>
  <c r="G49" i="11" s="1"/>
  <c r="D60" i="11"/>
  <c r="G60" i="11" s="1"/>
  <c r="D24" i="11"/>
  <c r="G24" i="11" s="1"/>
  <c r="D58" i="11"/>
  <c r="G58" i="11" s="1"/>
  <c r="D91" i="11"/>
  <c r="G91" i="11" s="1"/>
  <c r="D41" i="11"/>
  <c r="G41" i="11" s="1"/>
  <c r="D29" i="11"/>
  <c r="G29" i="11" s="1"/>
  <c r="D52" i="11"/>
  <c r="G52" i="11" s="1"/>
  <c r="D13" i="11"/>
  <c r="G13" i="11" s="1"/>
  <c r="D42" i="11"/>
  <c r="G42" i="11" s="1"/>
  <c r="D84" i="11"/>
  <c r="G84" i="11" s="1"/>
  <c r="D97" i="11"/>
  <c r="G97" i="11" s="1"/>
  <c r="D78" i="11"/>
  <c r="G78" i="11" s="1"/>
  <c r="D46" i="11"/>
  <c r="G46" i="11" s="1"/>
  <c r="D8" i="11"/>
  <c r="G8" i="11" s="1"/>
  <c r="D26" i="11"/>
  <c r="G26" i="11" s="1"/>
  <c r="D73" i="11"/>
  <c r="G73" i="11" s="1"/>
  <c r="D16" i="11"/>
  <c r="G16" i="11" s="1"/>
  <c r="D100" i="11"/>
  <c r="G100" i="11" s="1"/>
  <c r="D75" i="11"/>
  <c r="G75" i="11" s="1"/>
  <c r="D21" i="11"/>
  <c r="G21" i="11" s="1"/>
  <c r="D56" i="11"/>
  <c r="G56" i="11" s="1"/>
  <c r="D10" i="11"/>
  <c r="G10" i="11" s="1"/>
  <c r="D39" i="11"/>
  <c r="G39" i="11" s="1"/>
  <c r="D89" i="11"/>
  <c r="G89" i="11" s="1"/>
  <c r="D32" i="11"/>
  <c r="G32" i="11" s="1"/>
  <c r="D33" i="11"/>
  <c r="G33" i="11" s="1"/>
  <c r="D23" i="11"/>
  <c r="G23" i="11" s="1"/>
  <c r="D48" i="11"/>
  <c r="G48" i="11" s="1"/>
  <c r="D9" i="11"/>
  <c r="G9" i="11" s="1"/>
  <c r="D95" i="11"/>
  <c r="G95" i="11" s="1"/>
  <c r="D94" i="11"/>
  <c r="G94" i="11" s="1"/>
  <c r="D93" i="11"/>
  <c r="G93" i="11" s="1"/>
  <c r="D14" i="11"/>
  <c r="G14" i="11" s="1"/>
  <c r="D7" i="11"/>
  <c r="G7" i="11" s="1"/>
  <c r="D5" i="11"/>
  <c r="G5" i="11" s="1"/>
  <c r="D86" i="11"/>
  <c r="G86" i="11" s="1"/>
  <c r="D88" i="11"/>
  <c r="G88" i="11" s="1"/>
  <c r="D22" i="11"/>
  <c r="G22" i="11" s="1"/>
  <c r="D37" i="11"/>
  <c r="G37" i="11" s="1"/>
  <c r="D18" i="11"/>
  <c r="G18" i="11" s="1"/>
  <c r="D99" i="11"/>
  <c r="G99" i="11" s="1"/>
  <c r="K99" i="11" s="1"/>
  <c r="D92" i="11"/>
  <c r="G92" i="11" s="1"/>
  <c r="D82" i="11"/>
  <c r="G82" i="11" s="1"/>
  <c r="D17" i="11"/>
  <c r="G17" i="11" s="1"/>
  <c r="D54" i="11"/>
  <c r="G54" i="11" s="1"/>
  <c r="D65" i="11"/>
  <c r="G65" i="11" s="1"/>
  <c r="D83" i="11"/>
  <c r="G83" i="11" s="1"/>
  <c r="D69" i="11"/>
  <c r="G69" i="11" s="1"/>
  <c r="D76" i="11"/>
  <c r="G76" i="11" s="1"/>
  <c r="D11" i="11"/>
  <c r="G11" i="11" s="1"/>
  <c r="D50" i="11"/>
  <c r="G50" i="11" s="1"/>
  <c r="D63" i="11"/>
  <c r="G63" i="11" s="1"/>
  <c r="D67" i="11"/>
  <c r="G67" i="11" s="1"/>
  <c r="V294" i="11"/>
  <c r="V286" i="11"/>
  <c r="V278" i="11"/>
  <c r="V270" i="11"/>
  <c r="V262" i="11"/>
  <c r="V254" i="11"/>
  <c r="V246" i="11"/>
  <c r="V238" i="11"/>
  <c r="V230" i="11"/>
  <c r="V222" i="11"/>
  <c r="V214" i="11"/>
  <c r="V206" i="11"/>
  <c r="V198" i="11"/>
  <c r="V285" i="11"/>
  <c r="V277" i="11"/>
  <c r="V261" i="11"/>
  <c r="V245" i="11"/>
  <c r="V229" i="11"/>
  <c r="V213" i="11"/>
  <c r="V197" i="11"/>
  <c r="V292" i="11"/>
  <c r="V284" i="11"/>
  <c r="V276" i="11"/>
  <c r="V268" i="11"/>
  <c r="V260" i="11"/>
  <c r="V252" i="11"/>
  <c r="V244" i="11"/>
  <c r="V236" i="11"/>
  <c r="V228" i="11"/>
  <c r="V220" i="11"/>
  <c r="V212" i="11"/>
  <c r="V204" i="11"/>
  <c r="V196" i="11"/>
  <c r="V249" i="11"/>
  <c r="V280" i="11"/>
  <c r="V248" i="11"/>
  <c r="V224" i="11"/>
  <c r="V200" i="11"/>
  <c r="V291" i="11"/>
  <c r="V283" i="11"/>
  <c r="V275" i="11"/>
  <c r="V267" i="11"/>
  <c r="V259" i="11"/>
  <c r="V251" i="11"/>
  <c r="V243" i="11"/>
  <c r="V235" i="11"/>
  <c r="V227" i="11"/>
  <c r="V219" i="11"/>
  <c r="V211" i="11"/>
  <c r="V203" i="11"/>
  <c r="V195" i="11"/>
  <c r="V289" i="11"/>
  <c r="V265" i="11"/>
  <c r="V241" i="11"/>
  <c r="V225" i="11"/>
  <c r="V209" i="11"/>
  <c r="V288" i="11"/>
  <c r="V264" i="11"/>
  <c r="V240" i="11"/>
  <c r="V216" i="11"/>
  <c r="V290" i="11"/>
  <c r="V282" i="11"/>
  <c r="V274" i="11"/>
  <c r="V266" i="11"/>
  <c r="V258" i="11"/>
  <c r="V250" i="11"/>
  <c r="V242" i="11"/>
  <c r="V234" i="11"/>
  <c r="V226" i="11"/>
  <c r="V218" i="11"/>
  <c r="V210" i="11"/>
  <c r="V202" i="11"/>
  <c r="V194" i="11"/>
  <c r="V281" i="11"/>
  <c r="V273" i="11"/>
  <c r="V257" i="11"/>
  <c r="V233" i="11"/>
  <c r="V217" i="11"/>
  <c r="V201" i="11"/>
  <c r="V272" i="11"/>
  <c r="V256" i="11"/>
  <c r="V232" i="11"/>
  <c r="V208" i="11"/>
  <c r="V295" i="11"/>
  <c r="V287" i="11"/>
  <c r="V279" i="11"/>
  <c r="V271" i="11"/>
  <c r="V263" i="11"/>
  <c r="V255" i="11"/>
  <c r="V247" i="11"/>
  <c r="V239" i="11"/>
  <c r="V231" i="11"/>
  <c r="V223" i="11"/>
  <c r="V215" i="11"/>
  <c r="V207" i="11"/>
  <c r="V199" i="11"/>
  <c r="V293" i="11"/>
  <c r="V269" i="11"/>
  <c r="V253" i="11"/>
  <c r="V237" i="11"/>
  <c r="V221" i="11"/>
  <c r="V205" i="11"/>
  <c r="U295" i="11"/>
  <c r="U287" i="11"/>
  <c r="U279" i="11"/>
  <c r="U271" i="11"/>
  <c r="U263" i="11"/>
  <c r="U255" i="11"/>
  <c r="U247" i="11"/>
  <c r="U239" i="11"/>
  <c r="U231" i="11"/>
  <c r="U223" i="11"/>
  <c r="U215" i="11"/>
  <c r="U207" i="11"/>
  <c r="U199" i="11"/>
  <c r="U294" i="11"/>
  <c r="U278" i="11"/>
  <c r="U262" i="11"/>
  <c r="U246" i="11"/>
  <c r="U230" i="11"/>
  <c r="U214" i="11"/>
  <c r="U198" i="11"/>
  <c r="U285" i="11"/>
  <c r="U277" i="11"/>
  <c r="U261" i="11"/>
  <c r="U253" i="11"/>
  <c r="U237" i="11"/>
  <c r="U221" i="11"/>
  <c r="U205" i="11"/>
  <c r="U292" i="11"/>
  <c r="U284" i="11"/>
  <c r="U276" i="11"/>
  <c r="U268" i="11"/>
  <c r="U260" i="11"/>
  <c r="U252" i="11"/>
  <c r="U244" i="11"/>
  <c r="U236" i="11"/>
  <c r="U228" i="11"/>
  <c r="U220" i="11"/>
  <c r="U212" i="11"/>
  <c r="U204" i="11"/>
  <c r="U196" i="11"/>
  <c r="U273" i="11"/>
  <c r="U241" i="11"/>
  <c r="U217" i="11"/>
  <c r="U291" i="11"/>
  <c r="U283" i="11"/>
  <c r="U275" i="11"/>
  <c r="U267" i="11"/>
  <c r="U259" i="11"/>
  <c r="U251" i="11"/>
  <c r="U243" i="11"/>
  <c r="U235" i="11"/>
  <c r="U227" i="11"/>
  <c r="U219" i="11"/>
  <c r="U211" i="11"/>
  <c r="U203" i="11"/>
  <c r="U195" i="11"/>
  <c r="U289" i="11"/>
  <c r="U257" i="11"/>
  <c r="U233" i="11"/>
  <c r="U209" i="11"/>
  <c r="U290" i="11"/>
  <c r="U282" i="11"/>
  <c r="U274" i="11"/>
  <c r="U266" i="11"/>
  <c r="U258" i="11"/>
  <c r="U250" i="11"/>
  <c r="U242" i="11"/>
  <c r="U234" i="11"/>
  <c r="U226" i="11"/>
  <c r="U218" i="11"/>
  <c r="U210" i="11"/>
  <c r="U202" i="11"/>
  <c r="U194" i="11"/>
  <c r="U281" i="11"/>
  <c r="U265" i="11"/>
  <c r="U249" i="11"/>
  <c r="U225" i="11"/>
  <c r="U201" i="11"/>
  <c r="U288" i="11"/>
  <c r="U280" i="11"/>
  <c r="U272" i="11"/>
  <c r="U264" i="11"/>
  <c r="U256" i="11"/>
  <c r="U248" i="11"/>
  <c r="U240" i="11"/>
  <c r="U232" i="11"/>
  <c r="U224" i="11"/>
  <c r="U216" i="11"/>
  <c r="U208" i="11"/>
  <c r="U200" i="11"/>
  <c r="U286" i="11"/>
  <c r="U270" i="11"/>
  <c r="U254" i="11"/>
  <c r="U238" i="11"/>
  <c r="U222" i="11"/>
  <c r="U206" i="11"/>
  <c r="U293" i="11"/>
  <c r="U269" i="11"/>
  <c r="U245" i="11"/>
  <c r="U229" i="11"/>
  <c r="U213" i="11"/>
  <c r="U197" i="11"/>
  <c r="T309" i="11"/>
  <c r="U310" i="11"/>
  <c r="R311" i="11"/>
  <c r="Q16" i="11" s="1"/>
  <c r="Q311" i="11"/>
  <c r="C101" i="11"/>
  <c r="A101" i="11"/>
  <c r="P16" i="11"/>
  <c r="T39" i="11"/>
  <c r="T27" i="11"/>
  <c r="T93" i="11"/>
  <c r="T7" i="11"/>
  <c r="T64" i="11"/>
  <c r="T52" i="11"/>
  <c r="T8" i="11"/>
  <c r="T57" i="11"/>
  <c r="T36" i="11"/>
  <c r="T72" i="11"/>
  <c r="T54" i="11"/>
  <c r="T45" i="11"/>
  <c r="T38" i="11"/>
  <c r="T89" i="11"/>
  <c r="T81" i="11"/>
  <c r="T65" i="11"/>
  <c r="T13" i="11"/>
  <c r="T14" i="11"/>
  <c r="T58" i="11"/>
  <c r="T88" i="11"/>
  <c r="T12" i="11"/>
  <c r="T24" i="11"/>
  <c r="T95" i="11"/>
  <c r="T78" i="11"/>
  <c r="T84" i="11"/>
  <c r="T91" i="11"/>
  <c r="T96" i="11"/>
  <c r="T99" i="11"/>
  <c r="T32" i="11"/>
  <c r="T34" i="11"/>
  <c r="T87" i="11"/>
  <c r="T98" i="11"/>
  <c r="T46" i="11"/>
  <c r="T51" i="11"/>
  <c r="T56" i="11"/>
  <c r="T43" i="11"/>
  <c r="T74" i="11"/>
  <c r="T30" i="11"/>
  <c r="T73" i="11"/>
  <c r="T86" i="11"/>
  <c r="T60" i="11"/>
  <c r="T6" i="11"/>
  <c r="T82" i="11"/>
  <c r="T26" i="11"/>
  <c r="T4" i="11"/>
  <c r="T80" i="11"/>
  <c r="T77" i="11"/>
  <c r="T25" i="11"/>
  <c r="T50" i="11"/>
  <c r="T17" i="11"/>
  <c r="T97" i="11"/>
  <c r="T22" i="11"/>
  <c r="T37" i="11"/>
  <c r="T21" i="11"/>
  <c r="T69" i="11"/>
  <c r="T10" i="11"/>
  <c r="T19" i="11"/>
  <c r="T41" i="11"/>
  <c r="T33" i="11"/>
  <c r="T47" i="11"/>
  <c r="T55" i="11"/>
  <c r="T92" i="11"/>
  <c r="T76" i="11"/>
  <c r="T31" i="11"/>
  <c r="T83" i="11"/>
  <c r="T90" i="11"/>
  <c r="T61" i="11"/>
  <c r="T75" i="11"/>
  <c r="T20" i="11"/>
  <c r="T100" i="11"/>
  <c r="T29" i="11"/>
  <c r="T48" i="11"/>
  <c r="T28" i="11"/>
  <c r="T42" i="11"/>
  <c r="T15" i="11"/>
  <c r="T16" i="11"/>
  <c r="T9" i="11"/>
  <c r="T68" i="11"/>
  <c r="T53" i="11"/>
  <c r="T79" i="11"/>
  <c r="T71" i="11"/>
  <c r="T40" i="11"/>
  <c r="T70" i="11"/>
  <c r="T67" i="11"/>
  <c r="T18" i="11"/>
  <c r="T11" i="11"/>
  <c r="T35" i="11"/>
  <c r="T85" i="11"/>
  <c r="T23" i="11"/>
  <c r="T59" i="11"/>
  <c r="T94" i="11"/>
  <c r="T49" i="11"/>
  <c r="T63" i="11"/>
  <c r="T44" i="11"/>
  <c r="T5" i="11"/>
  <c r="T66" i="11"/>
  <c r="T62" i="11"/>
  <c r="D102" i="11"/>
  <c r="A102" i="11"/>
  <c r="C102" i="11"/>
  <c r="S256" i="11" l="1"/>
  <c r="S246" i="11"/>
  <c r="S250" i="11"/>
  <c r="S284" i="11"/>
  <c r="S294" i="11"/>
  <c r="S197" i="11"/>
  <c r="S224" i="11"/>
  <c r="S258" i="11"/>
  <c r="S280" i="11"/>
  <c r="S266" i="11"/>
  <c r="S278" i="11"/>
  <c r="S207" i="11"/>
  <c r="S248" i="11"/>
  <c r="S201" i="11"/>
  <c r="S225" i="11"/>
  <c r="S252" i="11"/>
  <c r="S262" i="11"/>
  <c r="S241" i="11"/>
  <c r="S245" i="11"/>
  <c r="S226" i="11"/>
  <c r="S196" i="11"/>
  <c r="S286" i="11"/>
  <c r="S290" i="11"/>
  <c r="S260" i="11"/>
  <c r="S292" i="11"/>
  <c r="S202" i="11"/>
  <c r="S199" i="11"/>
  <c r="S229" i="11"/>
  <c r="S195" i="11"/>
  <c r="S223" i="11"/>
  <c r="S272" i="11"/>
  <c r="S254" i="11"/>
  <c r="S282" i="11"/>
  <c r="S267" i="11"/>
  <c r="S230" i="11"/>
  <c r="S249" i="11"/>
  <c r="S275" i="11"/>
  <c r="S295" i="11"/>
  <c r="S291" i="11"/>
  <c r="S276" i="11"/>
  <c r="S213" i="11"/>
  <c r="S217" i="11"/>
  <c r="S211" i="11"/>
  <c r="S274" i="11"/>
  <c r="S270" i="11"/>
  <c r="S257" i="11"/>
  <c r="S289" i="11"/>
  <c r="S237" i="11"/>
  <c r="S219" i="11"/>
  <c r="S222" i="11"/>
  <c r="S268" i="11"/>
  <c r="S232" i="11"/>
  <c r="S210" i="11"/>
  <c r="S293" i="11"/>
  <c r="S206" i="11"/>
  <c r="S238" i="11"/>
  <c r="S281" i="11"/>
  <c r="S208" i="11"/>
  <c r="S216" i="11"/>
  <c r="S273" i="11"/>
  <c r="S205" i="11"/>
  <c r="S240" i="11"/>
  <c r="S269" i="11"/>
  <c r="S204" i="11"/>
  <c r="S253" i="11"/>
  <c r="S212" i="11"/>
  <c r="S261" i="11"/>
  <c r="S235" i="11"/>
  <c r="S220" i="11"/>
  <c r="S277" i="11"/>
  <c r="S247" i="11"/>
  <c r="S243" i="11"/>
  <c r="S285" i="11"/>
  <c r="S255" i="11"/>
  <c r="S288" i="11"/>
  <c r="S251" i="11"/>
  <c r="S236" i="11"/>
  <c r="S198" i="11"/>
  <c r="S244" i="11"/>
  <c r="S214" i="11"/>
  <c r="S200" i="11"/>
  <c r="S233" i="11"/>
  <c r="S194" i="11"/>
  <c r="S218" i="11"/>
  <c r="S203" i="11"/>
  <c r="S221" i="11"/>
  <c r="S215" i="11"/>
  <c r="S234" i="11"/>
  <c r="S231" i="11"/>
  <c r="S264" i="11"/>
  <c r="S242" i="11"/>
  <c r="S227" i="11"/>
  <c r="S239" i="11"/>
  <c r="S228" i="11"/>
  <c r="S263" i="11"/>
  <c r="S259" i="11"/>
  <c r="S271" i="11"/>
  <c r="S279" i="11"/>
  <c r="S287" i="11"/>
  <c r="S265" i="11"/>
  <c r="S209" i="11"/>
  <c r="S283" i="11"/>
  <c r="V309" i="11"/>
  <c r="R313" i="11" s="1"/>
  <c r="U309" i="11"/>
  <c r="U311" i="11" s="1"/>
  <c r="X145" i="11"/>
  <c r="X146" i="11" s="1"/>
  <c r="X147" i="11" s="1"/>
  <c r="V310" i="11"/>
  <c r="N313" i="11"/>
  <c r="C103" i="11"/>
  <c r="Q14" i="11" s="1"/>
  <c r="M4" i="14" s="1"/>
  <c r="T102" i="11"/>
  <c r="T101" i="11"/>
  <c r="L313" i="11"/>
  <c r="A103" i="11"/>
  <c r="D101" i="11"/>
  <c r="R3" i="16"/>
  <c r="F93" i="11"/>
  <c r="F59" i="11"/>
  <c r="F98" i="11"/>
  <c r="F22" i="11"/>
  <c r="F73" i="11"/>
  <c r="F95" i="11"/>
  <c r="F24" i="11"/>
  <c r="F11" i="11"/>
  <c r="F57" i="11"/>
  <c r="F27" i="11"/>
  <c r="F94" i="11"/>
  <c r="F74" i="11"/>
  <c r="F46" i="11"/>
  <c r="F91" i="11"/>
  <c r="F43" i="11"/>
  <c r="F3" i="11"/>
  <c r="F87" i="11"/>
  <c r="F88" i="11"/>
  <c r="F49" i="11"/>
  <c r="F84" i="11"/>
  <c r="F39" i="11"/>
  <c r="F80" i="11"/>
  <c r="F55" i="11"/>
  <c r="F12" i="11"/>
  <c r="F18" i="11"/>
  <c r="F45" i="11"/>
  <c r="F97" i="11"/>
  <c r="F19" i="11"/>
  <c r="F8" i="11"/>
  <c r="F34" i="11"/>
  <c r="F50" i="11"/>
  <c r="F96" i="11"/>
  <c r="F14" i="11"/>
  <c r="F63" i="11"/>
  <c r="F31" i="11"/>
  <c r="F9" i="11"/>
  <c r="F64" i="11"/>
  <c r="F29" i="11"/>
  <c r="F10" i="11"/>
  <c r="F71" i="11"/>
  <c r="F79" i="11"/>
  <c r="F81" i="11"/>
  <c r="F68" i="11"/>
  <c r="F48" i="11"/>
  <c r="F37" i="11"/>
  <c r="F47" i="11"/>
  <c r="F82" i="11"/>
  <c r="F60" i="11"/>
  <c r="F4" i="11"/>
  <c r="F25" i="11"/>
  <c r="F16" i="11"/>
  <c r="F44" i="11"/>
  <c r="F92" i="11"/>
  <c r="F86" i="11"/>
  <c r="F51" i="11"/>
  <c r="F67" i="11"/>
  <c r="F41" i="11"/>
  <c r="F78" i="11"/>
  <c r="F85" i="11"/>
  <c r="F13" i="11"/>
  <c r="F72" i="11"/>
  <c r="F23" i="11"/>
  <c r="F38" i="11"/>
  <c r="F15" i="11"/>
  <c r="F42" i="11"/>
  <c r="F75" i="11"/>
  <c r="F90" i="11"/>
  <c r="F70" i="11"/>
  <c r="F76" i="11"/>
  <c r="F21" i="11"/>
  <c r="F69" i="11"/>
  <c r="F35" i="11"/>
  <c r="F56" i="11"/>
  <c r="F61" i="11"/>
  <c r="F58" i="11"/>
  <c r="F62" i="11"/>
  <c r="F89" i="11"/>
  <c r="F54" i="11"/>
  <c r="F77" i="11"/>
  <c r="F33" i="11"/>
  <c r="F26" i="11"/>
  <c r="F30" i="11"/>
  <c r="F7" i="11"/>
  <c r="F17" i="11"/>
  <c r="F66" i="11"/>
  <c r="F20" i="11"/>
  <c r="F32" i="11"/>
  <c r="F53" i="11"/>
  <c r="F28" i="11"/>
  <c r="F52" i="11"/>
  <c r="F6" i="11"/>
  <c r="F36" i="11"/>
  <c r="F83" i="11"/>
  <c r="F65" i="11"/>
  <c r="F40" i="11"/>
  <c r="F5" i="11"/>
  <c r="H66" i="11" l="1"/>
  <c r="H47" i="11"/>
  <c r="H18" i="11"/>
  <c r="H86" i="11"/>
  <c r="H12" i="11"/>
  <c r="H62" i="11"/>
  <c r="H17" i="11"/>
  <c r="H7" i="11"/>
  <c r="H40" i="11"/>
  <c r="H57" i="11"/>
  <c r="H55" i="11"/>
  <c r="H72" i="11"/>
  <c r="H92" i="11"/>
  <c r="H75" i="11"/>
  <c r="H28" i="11"/>
  <c r="H26" i="11"/>
  <c r="H4" i="11"/>
  <c r="H8" i="11"/>
  <c r="H51" i="11"/>
  <c r="H54" i="11"/>
  <c r="H32" i="11"/>
  <c r="H10" i="11"/>
  <c r="H19" i="11"/>
  <c r="H81" i="11"/>
  <c r="J81" i="11" s="1"/>
  <c r="H42" i="11"/>
  <c r="H69" i="11"/>
  <c r="H39" i="11"/>
  <c r="H30" i="11"/>
  <c r="H76" i="11"/>
  <c r="H77" i="11"/>
  <c r="H45" i="11"/>
  <c r="H91" i="11"/>
  <c r="H14" i="11"/>
  <c r="H67" i="11"/>
  <c r="H58" i="11"/>
  <c r="H11" i="11"/>
  <c r="H20" i="11"/>
  <c r="H5" i="11"/>
  <c r="H34" i="11"/>
  <c r="H88" i="11"/>
  <c r="H84" i="11"/>
  <c r="H16" i="11"/>
  <c r="H95" i="11"/>
  <c r="H83" i="11"/>
  <c r="H37" i="11"/>
  <c r="H46" i="11"/>
  <c r="H41" i="11"/>
  <c r="H79" i="11"/>
  <c r="H63" i="11"/>
  <c r="H61" i="11"/>
  <c r="H50" i="11"/>
  <c r="H9" i="11"/>
  <c r="H94" i="11"/>
  <c r="H93" i="11"/>
  <c r="H27" i="11"/>
  <c r="H31" i="11"/>
  <c r="H80" i="11"/>
  <c r="H96" i="11"/>
  <c r="H98" i="11"/>
  <c r="H89" i="11"/>
  <c r="H60" i="11"/>
  <c r="K60" i="11" s="1"/>
  <c r="H6" i="11"/>
  <c r="H23" i="11"/>
  <c r="H13" i="11"/>
  <c r="H78" i="11"/>
  <c r="H97" i="11"/>
  <c r="H21" i="11"/>
  <c r="H38" i="11"/>
  <c r="H35" i="11"/>
  <c r="H52" i="11"/>
  <c r="H29" i="11"/>
  <c r="H87" i="11"/>
  <c r="H73" i="11"/>
  <c r="H68" i="11"/>
  <c r="H90" i="11"/>
  <c r="H64" i="11"/>
  <c r="H71" i="11"/>
  <c r="J71" i="11" s="1"/>
  <c r="H33" i="11"/>
  <c r="H48" i="11"/>
  <c r="H53" i="11"/>
  <c r="H43" i="11"/>
  <c r="H24" i="11"/>
  <c r="H82" i="11"/>
  <c r="J82" i="11" s="1"/>
  <c r="H36" i="11"/>
  <c r="J36" i="11" s="1"/>
  <c r="H15" i="11"/>
  <c r="H25" i="11"/>
  <c r="H70" i="11"/>
  <c r="J70" i="11" s="1"/>
  <c r="H44" i="11"/>
  <c r="H49" i="11"/>
  <c r="H74" i="11"/>
  <c r="H3" i="11"/>
  <c r="H56" i="11"/>
  <c r="H22" i="11"/>
  <c r="H85" i="11"/>
  <c r="H65" i="11"/>
  <c r="H59" i="11"/>
  <c r="T310" i="11"/>
  <c r="T311" i="11" s="1"/>
  <c r="O313" i="11"/>
  <c r="S3" i="16"/>
  <c r="S10" i="16"/>
  <c r="X148" i="11"/>
  <c r="X149" i="11" s="1"/>
  <c r="G102" i="11"/>
  <c r="V311" i="11"/>
  <c r="T103" i="11"/>
  <c r="G101" i="11"/>
  <c r="S310" i="11"/>
  <c r="S309" i="11"/>
  <c r="M313" i="11"/>
  <c r="P14" i="11"/>
  <c r="D103" i="11"/>
  <c r="T104" i="11"/>
  <c r="T105" i="11"/>
  <c r="K53" i="11" l="1"/>
  <c r="AA53" i="11" s="1"/>
  <c r="J53" i="11"/>
  <c r="J79" i="11"/>
  <c r="K79" i="11"/>
  <c r="J91" i="11"/>
  <c r="K91" i="11"/>
  <c r="AK91" i="11" s="1"/>
  <c r="J26" i="11"/>
  <c r="K26" i="11"/>
  <c r="AA26" i="11" s="1"/>
  <c r="K41" i="11"/>
  <c r="AK41" i="11" s="1"/>
  <c r="J41" i="11"/>
  <c r="K45" i="11"/>
  <c r="AK45" i="11" s="1"/>
  <c r="J45" i="11"/>
  <c r="J28" i="11"/>
  <c r="K28" i="11"/>
  <c r="AA28" i="11" s="1"/>
  <c r="J85" i="11"/>
  <c r="K85" i="11"/>
  <c r="K77" i="11"/>
  <c r="AK77" i="11" s="1"/>
  <c r="J77" i="11"/>
  <c r="J75" i="11"/>
  <c r="K75" i="11"/>
  <c r="J76" i="11"/>
  <c r="K76" i="11"/>
  <c r="AK76" i="11" s="1"/>
  <c r="K92" i="11"/>
  <c r="AA92" i="11" s="1"/>
  <c r="J92" i="11"/>
  <c r="K48" i="11"/>
  <c r="AK48" i="11" s="1"/>
  <c r="J48" i="11"/>
  <c r="J89" i="11"/>
  <c r="K89" i="11"/>
  <c r="J30" i="11"/>
  <c r="K30" i="11"/>
  <c r="AA30" i="11" s="1"/>
  <c r="J72" i="11"/>
  <c r="K72" i="11"/>
  <c r="AA72" i="11" s="1"/>
  <c r="J22" i="11"/>
  <c r="K22" i="11"/>
  <c r="AA22" i="11" s="1"/>
  <c r="J98" i="11"/>
  <c r="K98" i="11"/>
  <c r="J95" i="11"/>
  <c r="K95" i="11"/>
  <c r="AK95" i="11" s="1"/>
  <c r="K39" i="11"/>
  <c r="AK39" i="11" s="1"/>
  <c r="J39" i="11"/>
  <c r="K55" i="11"/>
  <c r="AA55" i="11" s="1"/>
  <c r="J55" i="11"/>
  <c r="J96" i="11"/>
  <c r="K96" i="11"/>
  <c r="AA96" i="11" s="1"/>
  <c r="J16" i="11"/>
  <c r="K16" i="11"/>
  <c r="AK16" i="11" s="1"/>
  <c r="J69" i="11"/>
  <c r="K69" i="11"/>
  <c r="J23" i="11"/>
  <c r="K23" i="11"/>
  <c r="AA23" i="11" s="1"/>
  <c r="K83" i="11"/>
  <c r="AK83" i="11" s="1"/>
  <c r="J83" i="11"/>
  <c r="K49" i="11"/>
  <c r="AK49" i="11" s="1"/>
  <c r="J49" i="11"/>
  <c r="J80" i="11"/>
  <c r="K80" i="11"/>
  <c r="J84" i="11"/>
  <c r="K84" i="11"/>
  <c r="AA84" i="11" s="1"/>
  <c r="J42" i="11"/>
  <c r="K42" i="11"/>
  <c r="AK42" i="11" s="1"/>
  <c r="K40" i="11"/>
  <c r="AK40" i="11" s="1"/>
  <c r="J40" i="11"/>
  <c r="K65" i="11"/>
  <c r="AK65" i="11" s="1"/>
  <c r="J65" i="11"/>
  <c r="J87" i="11"/>
  <c r="K87" i="11"/>
  <c r="J88" i="11"/>
  <c r="K88" i="11"/>
  <c r="K74" i="11"/>
  <c r="J74" i="11"/>
  <c r="J34" i="11"/>
  <c r="K34" i="11"/>
  <c r="AA34" i="11" s="1"/>
  <c r="J19" i="11"/>
  <c r="K19" i="11"/>
  <c r="AK19" i="11" s="1"/>
  <c r="J17" i="11"/>
  <c r="K17" i="11"/>
  <c r="AK17" i="11" s="1"/>
  <c r="J37" i="11"/>
  <c r="K37" i="11"/>
  <c r="AA37" i="11" s="1"/>
  <c r="J31" i="11"/>
  <c r="K31" i="11"/>
  <c r="AA31" i="11" s="1"/>
  <c r="J25" i="11"/>
  <c r="K25" i="11"/>
  <c r="AK25" i="11" s="1"/>
  <c r="K93" i="11"/>
  <c r="AK93" i="11" s="1"/>
  <c r="J93" i="11"/>
  <c r="J10" i="11"/>
  <c r="K10" i="11"/>
  <c r="AK10" i="11" s="1"/>
  <c r="J62" i="11"/>
  <c r="K62" i="11"/>
  <c r="J46" i="11"/>
  <c r="K46" i="11"/>
  <c r="AA46" i="11" s="1"/>
  <c r="J56" i="11"/>
  <c r="K56" i="11"/>
  <c r="J27" i="11"/>
  <c r="K27" i="11"/>
  <c r="AA27" i="11" s="1"/>
  <c r="J35" i="11"/>
  <c r="K35" i="11"/>
  <c r="AK35" i="11" s="1"/>
  <c r="K94" i="11"/>
  <c r="AA94" i="11" s="1"/>
  <c r="J94" i="11"/>
  <c r="J20" i="11"/>
  <c r="K20" i="11"/>
  <c r="AK20" i="11" s="1"/>
  <c r="J32" i="11"/>
  <c r="K32" i="11"/>
  <c r="AK32" i="11" s="1"/>
  <c r="K12" i="11"/>
  <c r="AK12" i="11" s="1"/>
  <c r="J12" i="11"/>
  <c r="K13" i="11"/>
  <c r="AA13" i="11" s="1"/>
  <c r="J13" i="11"/>
  <c r="J33" i="11"/>
  <c r="K33" i="11"/>
  <c r="AA33" i="11" s="1"/>
  <c r="J64" i="11"/>
  <c r="K64" i="11"/>
  <c r="J68" i="11"/>
  <c r="K68" i="11"/>
  <c r="AK68" i="11" s="1"/>
  <c r="K73" i="11"/>
  <c r="J73" i="11"/>
  <c r="J44" i="11"/>
  <c r="K44" i="11"/>
  <c r="AK44" i="11" s="1"/>
  <c r="K29" i="11"/>
  <c r="AK29" i="11" s="1"/>
  <c r="J29" i="11"/>
  <c r="J38" i="11"/>
  <c r="K38" i="11"/>
  <c r="AK38" i="11" s="1"/>
  <c r="J9" i="11"/>
  <c r="K9" i="11"/>
  <c r="AA9" i="11" s="1"/>
  <c r="J11" i="11"/>
  <c r="K11" i="11"/>
  <c r="AK11" i="11" s="1"/>
  <c r="J54" i="11"/>
  <c r="K54" i="11"/>
  <c r="AA54" i="11" s="1"/>
  <c r="K86" i="11"/>
  <c r="J86" i="11"/>
  <c r="J59" i="11"/>
  <c r="K59" i="11"/>
  <c r="AK59" i="11" s="1"/>
  <c r="J52" i="11"/>
  <c r="K52" i="11"/>
  <c r="AK52" i="11" s="1"/>
  <c r="K21" i="11"/>
  <c r="AA21" i="11" s="1"/>
  <c r="J21" i="11"/>
  <c r="K50" i="11"/>
  <c r="AK50" i="11" s="1"/>
  <c r="J50" i="11"/>
  <c r="K51" i="11"/>
  <c r="AA51" i="11" s="1"/>
  <c r="J51" i="11"/>
  <c r="J18" i="11"/>
  <c r="K18" i="11"/>
  <c r="AK18" i="11" s="1"/>
  <c r="J15" i="11"/>
  <c r="K15" i="11"/>
  <c r="AA15" i="11" s="1"/>
  <c r="J24" i="11"/>
  <c r="K24" i="11"/>
  <c r="AK24" i="11" s="1"/>
  <c r="J97" i="11"/>
  <c r="K97" i="11"/>
  <c r="AA97" i="11" s="1"/>
  <c r="J61" i="11"/>
  <c r="K61" i="11"/>
  <c r="K67" i="11"/>
  <c r="AK67" i="11" s="1"/>
  <c r="J67" i="11"/>
  <c r="J8" i="11"/>
  <c r="K8" i="11"/>
  <c r="AK8" i="11" s="1"/>
  <c r="K47" i="11"/>
  <c r="AK47" i="11" s="1"/>
  <c r="J47" i="11"/>
  <c r="J78" i="11"/>
  <c r="K78" i="11"/>
  <c r="AA78" i="11" s="1"/>
  <c r="J63" i="11"/>
  <c r="K63" i="11"/>
  <c r="J14" i="11"/>
  <c r="K14" i="11"/>
  <c r="AA14" i="11" s="1"/>
  <c r="K66" i="11"/>
  <c r="AK66" i="11" s="1"/>
  <c r="J66" i="11"/>
  <c r="AK82" i="11"/>
  <c r="AK36" i="11"/>
  <c r="AK43" i="11"/>
  <c r="AA5" i="11"/>
  <c r="AA7" i="11"/>
  <c r="AK6" i="11"/>
  <c r="AA4" i="11"/>
  <c r="AK3" i="11"/>
  <c r="W16" i="11"/>
  <c r="W11" i="11"/>
  <c r="W42" i="11"/>
  <c r="W51" i="11"/>
  <c r="W94" i="11"/>
  <c r="AA100" i="11"/>
  <c r="W5" i="11"/>
  <c r="W59" i="11"/>
  <c r="W22" i="11"/>
  <c r="W13" i="11"/>
  <c r="W97" i="11"/>
  <c r="W91" i="11"/>
  <c r="W36" i="11"/>
  <c r="W84" i="11"/>
  <c r="W28" i="11"/>
  <c r="W9" i="11"/>
  <c r="W67" i="11"/>
  <c r="W17" i="11"/>
  <c r="W4" i="11"/>
  <c r="W32" i="11"/>
  <c r="W76" i="11"/>
  <c r="W3" i="11"/>
  <c r="W18" i="11"/>
  <c r="W46" i="11"/>
  <c r="W95" i="11"/>
  <c r="W10" i="11"/>
  <c r="W40" i="11"/>
  <c r="W49" i="11"/>
  <c r="W35" i="11"/>
  <c r="W45" i="11"/>
  <c r="W39" i="11"/>
  <c r="W27" i="11"/>
  <c r="W24" i="11"/>
  <c r="W83" i="11"/>
  <c r="L9" i="16"/>
  <c r="M9" i="16"/>
  <c r="W55" i="11"/>
  <c r="W25" i="11"/>
  <c r="W29" i="11"/>
  <c r="W44" i="11"/>
  <c r="W7" i="11"/>
  <c r="W33" i="11"/>
  <c r="W14" i="11"/>
  <c r="W41" i="11"/>
  <c r="W19" i="11"/>
  <c r="W30" i="11"/>
  <c r="W93" i="11"/>
  <c r="W43" i="11"/>
  <c r="W34" i="11"/>
  <c r="W78" i="11"/>
  <c r="W52" i="11"/>
  <c r="W23" i="11"/>
  <c r="W37" i="11"/>
  <c r="W66" i="11"/>
  <c r="W48" i="11"/>
  <c r="W12" i="11"/>
  <c r="W68" i="11"/>
  <c r="W54" i="11"/>
  <c r="W47" i="11"/>
  <c r="W53" i="11"/>
  <c r="W6" i="11"/>
  <c r="W20" i="11"/>
  <c r="W65" i="11"/>
  <c r="W21" i="11"/>
  <c r="W26" i="11"/>
  <c r="W77" i="11"/>
  <c r="W72" i="11"/>
  <c r="W82" i="11"/>
  <c r="W50" i="11"/>
  <c r="W38" i="11"/>
  <c r="W31" i="11"/>
  <c r="W15" i="11"/>
  <c r="W92" i="11"/>
  <c r="W96" i="11"/>
  <c r="X150" i="11"/>
  <c r="X151" i="11" s="1"/>
  <c r="P313" i="11"/>
  <c r="AA3" i="11"/>
  <c r="AK100" i="11"/>
  <c r="S311" i="11"/>
  <c r="G103" i="11"/>
  <c r="L4" i="14"/>
  <c r="Q15" i="11"/>
  <c r="O4" i="14" s="1"/>
  <c r="U3" i="11"/>
  <c r="U79" i="11"/>
  <c r="U6" i="11"/>
  <c r="U85" i="11"/>
  <c r="U11" i="11"/>
  <c r="U98" i="11"/>
  <c r="U53" i="11"/>
  <c r="U64" i="11"/>
  <c r="U76" i="11"/>
  <c r="U48" i="11"/>
  <c r="U91" i="11"/>
  <c r="U10" i="11"/>
  <c r="U100" i="11"/>
  <c r="U22" i="11"/>
  <c r="U65" i="11"/>
  <c r="U80" i="11"/>
  <c r="U68" i="11"/>
  <c r="U72" i="11"/>
  <c r="U23" i="11"/>
  <c r="U86" i="11"/>
  <c r="U21" i="11"/>
  <c r="U43" i="11"/>
  <c r="U81" i="11"/>
  <c r="U55" i="11"/>
  <c r="U89" i="11"/>
  <c r="U25" i="11"/>
  <c r="U28" i="11"/>
  <c r="U78" i="11"/>
  <c r="U30" i="11"/>
  <c r="U88" i="11"/>
  <c r="U16" i="11"/>
  <c r="U17" i="11"/>
  <c r="U63" i="11"/>
  <c r="U5" i="11"/>
  <c r="U66" i="11"/>
  <c r="U19" i="11"/>
  <c r="U57" i="11"/>
  <c r="U24" i="11"/>
  <c r="U7" i="11"/>
  <c r="U61" i="11"/>
  <c r="U62" i="11"/>
  <c r="U32" i="11"/>
  <c r="U44" i="11"/>
  <c r="U77" i="11"/>
  <c r="U60" i="11"/>
  <c r="U52" i="11"/>
  <c r="U56" i="11"/>
  <c r="U71" i="11"/>
  <c r="U49" i="11"/>
  <c r="U9" i="11"/>
  <c r="U84" i="11"/>
  <c r="U29" i="11"/>
  <c r="U58" i="11"/>
  <c r="U83" i="11"/>
  <c r="U99" i="11"/>
  <c r="U38" i="11"/>
  <c r="U36" i="11"/>
  <c r="U69" i="11"/>
  <c r="U93" i="11"/>
  <c r="U50" i="11"/>
  <c r="U94" i="11"/>
  <c r="U26" i="11"/>
  <c r="U73" i="11"/>
  <c r="U46" i="11"/>
  <c r="U15" i="11"/>
  <c r="U4" i="11"/>
  <c r="U95" i="11"/>
  <c r="U18" i="11"/>
  <c r="U13" i="11"/>
  <c r="U87" i="11"/>
  <c r="U33" i="11"/>
  <c r="U8" i="11"/>
  <c r="U20" i="11"/>
  <c r="U70" i="11"/>
  <c r="U39" i="11"/>
  <c r="U75" i="11"/>
  <c r="U67" i="11"/>
  <c r="U14" i="11"/>
  <c r="U82" i="11"/>
  <c r="U37" i="11"/>
  <c r="U97" i="11"/>
  <c r="U34" i="11"/>
  <c r="U31" i="11"/>
  <c r="U51" i="11"/>
  <c r="U96" i="11"/>
  <c r="U47" i="11"/>
  <c r="U74" i="11"/>
  <c r="U40" i="11"/>
  <c r="U54" i="11"/>
  <c r="U59" i="11"/>
  <c r="U45" i="11"/>
  <c r="U12" i="11"/>
  <c r="U90" i="11"/>
  <c r="U92" i="11"/>
  <c r="U42" i="11"/>
  <c r="U41" i="11"/>
  <c r="U27" i="11"/>
  <c r="U35" i="11"/>
  <c r="AK30" i="11" l="1"/>
  <c r="AA42" i="11"/>
  <c r="AI42" i="11" s="1"/>
  <c r="AA83" i="11"/>
  <c r="AC83" i="11" s="1"/>
  <c r="AK37" i="11"/>
  <c r="AA43" i="11"/>
  <c r="AF43" i="11" s="1"/>
  <c r="AK26" i="11"/>
  <c r="AK94" i="11"/>
  <c r="AK5" i="11"/>
  <c r="AA91" i="11"/>
  <c r="AF91" i="11" s="1"/>
  <c r="AK78" i="11"/>
  <c r="AA59" i="11"/>
  <c r="AH59" i="11" s="1"/>
  <c r="AK14" i="11"/>
  <c r="AK23" i="11"/>
  <c r="AK92" i="11"/>
  <c r="AA93" i="11"/>
  <c r="AB93" i="11" s="1"/>
  <c r="AK21" i="11"/>
  <c r="AK27" i="11"/>
  <c r="AA17" i="11"/>
  <c r="AI17" i="11" s="1"/>
  <c r="AA16" i="11"/>
  <c r="AD16" i="11" s="1"/>
  <c r="AA29" i="11"/>
  <c r="AB29" i="11" s="1"/>
  <c r="AA19" i="11"/>
  <c r="AI19" i="11" s="1"/>
  <c r="AA35" i="11"/>
  <c r="AI35" i="11" s="1"/>
  <c r="AA40" i="11"/>
  <c r="AC40" i="11" s="1"/>
  <c r="AK46" i="11"/>
  <c r="AK7" i="11"/>
  <c r="AK34" i="11"/>
  <c r="AA12" i="11"/>
  <c r="AC12" i="11" s="1"/>
  <c r="AK28" i="11"/>
  <c r="AA39" i="11"/>
  <c r="AE39" i="11" s="1"/>
  <c r="AA11" i="11"/>
  <c r="AG11" i="11" s="1"/>
  <c r="AA38" i="11"/>
  <c r="AF38" i="11" s="1"/>
  <c r="AK31" i="11"/>
  <c r="AA36" i="11"/>
  <c r="AI36" i="11" s="1"/>
  <c r="AK4" i="11"/>
  <c r="AA8" i="11"/>
  <c r="AG8" i="11" s="1"/>
  <c r="AC51" i="11"/>
  <c r="AD51" i="11"/>
  <c r="AK51" i="11"/>
  <c r="AA50" i="11"/>
  <c r="AB50" i="11" s="1"/>
  <c r="AK15" i="11"/>
  <c r="AA77" i="11"/>
  <c r="AF77" i="11" s="1"/>
  <c r="AA41" i="11"/>
  <c r="AG41" i="11" s="1"/>
  <c r="AA65" i="11"/>
  <c r="AF65" i="11" s="1"/>
  <c r="AK33" i="11"/>
  <c r="AI51" i="11"/>
  <c r="AE51" i="11"/>
  <c r="AG51" i="11"/>
  <c r="AH51" i="11"/>
  <c r="AF51" i="11"/>
  <c r="AB51" i="11"/>
  <c r="AB33" i="11"/>
  <c r="AI33" i="11"/>
  <c r="AG33" i="11"/>
  <c r="AF33" i="11"/>
  <c r="AE33" i="11"/>
  <c r="AD33" i="11"/>
  <c r="AC33" i="11"/>
  <c r="AH33" i="11"/>
  <c r="AA24" i="11"/>
  <c r="AI24" i="11" s="1"/>
  <c r="AA68" i="11"/>
  <c r="AB68" i="11" s="1"/>
  <c r="AA45" i="11"/>
  <c r="AE45" i="11" s="1"/>
  <c r="AA20" i="11"/>
  <c r="AI20" i="11" s="1"/>
  <c r="AA52" i="11"/>
  <c r="AE52" i="11" s="1"/>
  <c r="AK84" i="11"/>
  <c r="AK13" i="11"/>
  <c r="AA49" i="11"/>
  <c r="AF49" i="11" s="1"/>
  <c r="AA67" i="11"/>
  <c r="AB67" i="11" s="1"/>
  <c r="AK9" i="11"/>
  <c r="AA25" i="11"/>
  <c r="AD25" i="11" s="1"/>
  <c r="AA66" i="11"/>
  <c r="AC66" i="11" s="1"/>
  <c r="AK22" i="11"/>
  <c r="AK97" i="11"/>
  <c r="AA82" i="11"/>
  <c r="AB82" i="11" s="1"/>
  <c r="AK54" i="11"/>
  <c r="AA48" i="11"/>
  <c r="AH48" i="11" s="1"/>
  <c r="AA18" i="11"/>
  <c r="AD18" i="11" s="1"/>
  <c r="AA32" i="11"/>
  <c r="AC32" i="11" s="1"/>
  <c r="AA76" i="11"/>
  <c r="AG76" i="11" s="1"/>
  <c r="AA47" i="11"/>
  <c r="AH47" i="11" s="1"/>
  <c r="AK53" i="11"/>
  <c r="AA10" i="11"/>
  <c r="AG10" i="11" s="1"/>
  <c r="AA44" i="11"/>
  <c r="AD44" i="11" s="1"/>
  <c r="AA6" i="11"/>
  <c r="AI6" i="11" s="1"/>
  <c r="AK72" i="11"/>
  <c r="AK55" i="11"/>
  <c r="AK96" i="11"/>
  <c r="AA95" i="11"/>
  <c r="AD95" i="11" s="1"/>
  <c r="W60" i="11"/>
  <c r="W61" i="11"/>
  <c r="W85" i="11"/>
  <c r="W86" i="11"/>
  <c r="W89" i="11"/>
  <c r="W88" i="11"/>
  <c r="W100" i="11"/>
  <c r="W98" i="11"/>
  <c r="W99" i="11"/>
  <c r="W80" i="11"/>
  <c r="W79" i="11"/>
  <c r="W63" i="11"/>
  <c r="X152" i="11"/>
  <c r="X153" i="11" s="1"/>
  <c r="W74" i="11"/>
  <c r="W73" i="11"/>
  <c r="W56" i="11"/>
  <c r="W57" i="11"/>
  <c r="F102" i="11"/>
  <c r="F101" i="11"/>
  <c r="Q313" i="11" s="1"/>
  <c r="W70" i="11"/>
  <c r="W69" i="11"/>
  <c r="AC94" i="11"/>
  <c r="AG94" i="11"/>
  <c r="AI94" i="11"/>
  <c r="AF94" i="11"/>
  <c r="AE94" i="11"/>
  <c r="AH94" i="11"/>
  <c r="AB94" i="11"/>
  <c r="AD94" i="11"/>
  <c r="AB78" i="11"/>
  <c r="AC78" i="11"/>
  <c r="AF78" i="11"/>
  <c r="AH78" i="11"/>
  <c r="AD78" i="11"/>
  <c r="AI78" i="11"/>
  <c r="AE78" i="11"/>
  <c r="AG78" i="11"/>
  <c r="AE14" i="11"/>
  <c r="AB14" i="11"/>
  <c r="AI14" i="11"/>
  <c r="AD14" i="11"/>
  <c r="AH14" i="11"/>
  <c r="AC14" i="11"/>
  <c r="AF14" i="11"/>
  <c r="AG14" i="11"/>
  <c r="AF15" i="11"/>
  <c r="AH15" i="11"/>
  <c r="AD15" i="11"/>
  <c r="AG15" i="11"/>
  <c r="AB15" i="11"/>
  <c r="AE15" i="11"/>
  <c r="AI15" i="11"/>
  <c r="AC15" i="11"/>
  <c r="AH84" i="11"/>
  <c r="AD84" i="11"/>
  <c r="AC84" i="11"/>
  <c r="AI84" i="11"/>
  <c r="AB84" i="11"/>
  <c r="AG84" i="11"/>
  <c r="AF84" i="11"/>
  <c r="AE84" i="11"/>
  <c r="AE3" i="11"/>
  <c r="AF3" i="11"/>
  <c r="AI3" i="11"/>
  <c r="AG3" i="11"/>
  <c r="AH3" i="11"/>
  <c r="AB3" i="11"/>
  <c r="AC3" i="11"/>
  <c r="AD3" i="11"/>
  <c r="AG53" i="11"/>
  <c r="AD53" i="11"/>
  <c r="AI53" i="11"/>
  <c r="AE53" i="11"/>
  <c r="AF53" i="11"/>
  <c r="AB53" i="11"/>
  <c r="AH53" i="11"/>
  <c r="AC53" i="11"/>
  <c r="AG28" i="11"/>
  <c r="AE28" i="11"/>
  <c r="AD28" i="11"/>
  <c r="AH28" i="11"/>
  <c r="AF28" i="11"/>
  <c r="AI28" i="11"/>
  <c r="AC28" i="11"/>
  <c r="AB28" i="11"/>
  <c r="AD92" i="11"/>
  <c r="AE92" i="11"/>
  <c r="AB92" i="11"/>
  <c r="AH92" i="11"/>
  <c r="AI92" i="11"/>
  <c r="AG92" i="11"/>
  <c r="AC92" i="11"/>
  <c r="AF92" i="11"/>
  <c r="AG31" i="11"/>
  <c r="AF31" i="11"/>
  <c r="AE31" i="11"/>
  <c r="AI31" i="11"/>
  <c r="AH31" i="11"/>
  <c r="AC31" i="11"/>
  <c r="AD31" i="11"/>
  <c r="AB31" i="11"/>
  <c r="AD21" i="11"/>
  <c r="AH21" i="11"/>
  <c r="AI21" i="11"/>
  <c r="AE21" i="11"/>
  <c r="AG21" i="11"/>
  <c r="AF21" i="11"/>
  <c r="AC21" i="11"/>
  <c r="AB21" i="11"/>
  <c r="AC13" i="11"/>
  <c r="AH13" i="11"/>
  <c r="AF13" i="11"/>
  <c r="AI13" i="11"/>
  <c r="AE13" i="11"/>
  <c r="AB13" i="11"/>
  <c r="AD13" i="11"/>
  <c r="AG13" i="11"/>
  <c r="AI22" i="11"/>
  <c r="AC22" i="11"/>
  <c r="AD22" i="11"/>
  <c r="AG22" i="11"/>
  <c r="AE22" i="11"/>
  <c r="AH22" i="11"/>
  <c r="AF22" i="11"/>
  <c r="AB22" i="11"/>
  <c r="AC26" i="11"/>
  <c r="AG26" i="11"/>
  <c r="AE26" i="11"/>
  <c r="AI26" i="11"/>
  <c r="AB26" i="11"/>
  <c r="AD26" i="11"/>
  <c r="AH26" i="11"/>
  <c r="AF26" i="11"/>
  <c r="AD7" i="11"/>
  <c r="AH7" i="11"/>
  <c r="AF7" i="11"/>
  <c r="AE7" i="11"/>
  <c r="AC7" i="11"/>
  <c r="AB7" i="11"/>
  <c r="AI7" i="11"/>
  <c r="AG7" i="11"/>
  <c r="AI9" i="11"/>
  <c r="AE9" i="11"/>
  <c r="AG9" i="11"/>
  <c r="AD9" i="11"/>
  <c r="AF9" i="11"/>
  <c r="AB9" i="11"/>
  <c r="AH9" i="11"/>
  <c r="AC9" i="11"/>
  <c r="AC34" i="11"/>
  <c r="AI34" i="11"/>
  <c r="AB34" i="11"/>
  <c r="AE34" i="11"/>
  <c r="AG34" i="11"/>
  <c r="AH34" i="11"/>
  <c r="AD34" i="11"/>
  <c r="AF34" i="11"/>
  <c r="AD96" i="11"/>
  <c r="AF96" i="11"/>
  <c r="AB96" i="11"/>
  <c r="AG96" i="11"/>
  <c r="AH96" i="11"/>
  <c r="AI96" i="11"/>
  <c r="AE96" i="11"/>
  <c r="AC96" i="11"/>
  <c r="AC4" i="11"/>
  <c r="AB4" i="11"/>
  <c r="AD4" i="11"/>
  <c r="AF4" i="11"/>
  <c r="AG4" i="11"/>
  <c r="AI4" i="11"/>
  <c r="AH4" i="11"/>
  <c r="AE4" i="11"/>
  <c r="AH37" i="11"/>
  <c r="AF37" i="11"/>
  <c r="AC37" i="11"/>
  <c r="AE37" i="11"/>
  <c r="AD37" i="11"/>
  <c r="AG37" i="11"/>
  <c r="AI37" i="11"/>
  <c r="AB37" i="11"/>
  <c r="AI55" i="11"/>
  <c r="AG55" i="11"/>
  <c r="AB55" i="11"/>
  <c r="AE55" i="11"/>
  <c r="AD55" i="11"/>
  <c r="AC55" i="11"/>
  <c r="AH55" i="11"/>
  <c r="AF55" i="11"/>
  <c r="AI23" i="11"/>
  <c r="AD23" i="11"/>
  <c r="AF23" i="11"/>
  <c r="AC23" i="11"/>
  <c r="AG23" i="11"/>
  <c r="AB23" i="11"/>
  <c r="AE23" i="11"/>
  <c r="AH23" i="11"/>
  <c r="AI30" i="11"/>
  <c r="AC30" i="11"/>
  <c r="AD30" i="11"/>
  <c r="AG30" i="11"/>
  <c r="AF30" i="11"/>
  <c r="AH30" i="11"/>
  <c r="AB30" i="11"/>
  <c r="AE30" i="11"/>
  <c r="AF54" i="11"/>
  <c r="AG54" i="11"/>
  <c r="AB54" i="11"/>
  <c r="AE54" i="11"/>
  <c r="AD54" i="11"/>
  <c r="AC54" i="11"/>
  <c r="AH54" i="11"/>
  <c r="AI54" i="11"/>
  <c r="AF27" i="11"/>
  <c r="AD27" i="11"/>
  <c r="AG27" i="11"/>
  <c r="AH27" i="11"/>
  <c r="AC27" i="11"/>
  <c r="AI27" i="11"/>
  <c r="AE27" i="11"/>
  <c r="AB27" i="11"/>
  <c r="AI46" i="11"/>
  <c r="AH46" i="11"/>
  <c r="AE46" i="11"/>
  <c r="AD46" i="11"/>
  <c r="AG46" i="11"/>
  <c r="AB46" i="11"/>
  <c r="AF46" i="11"/>
  <c r="AC46" i="11"/>
  <c r="AD72" i="11"/>
  <c r="AE72" i="11"/>
  <c r="AI72" i="11"/>
  <c r="AF72" i="11"/>
  <c r="AH72" i="11"/>
  <c r="AG72" i="11"/>
  <c r="AC72" i="11"/>
  <c r="AB72" i="11"/>
  <c r="AG97" i="11"/>
  <c r="AC97" i="11"/>
  <c r="AD97" i="11"/>
  <c r="AB97" i="11"/>
  <c r="AI97" i="11"/>
  <c r="AE97" i="11"/>
  <c r="AH97" i="11"/>
  <c r="AF97" i="11"/>
  <c r="AE100" i="11"/>
  <c r="AI100" i="11"/>
  <c r="AC100" i="11"/>
  <c r="AH100" i="11"/>
  <c r="AG100" i="11"/>
  <c r="AB100" i="11"/>
  <c r="AF100" i="11"/>
  <c r="AD100" i="11"/>
  <c r="AE5" i="11"/>
  <c r="AD5" i="11"/>
  <c r="AH5" i="11"/>
  <c r="AB5" i="11"/>
  <c r="AF5" i="11"/>
  <c r="AG5" i="11"/>
  <c r="AC5" i="11"/>
  <c r="AI5" i="11"/>
  <c r="U102" i="11"/>
  <c r="U101" i="11"/>
  <c r="H102" i="11"/>
  <c r="AG35" i="11" l="1"/>
  <c r="AD17" i="11"/>
  <c r="AG17" i="11"/>
  <c r="AE17" i="11"/>
  <c r="AH17" i="11"/>
  <c r="AI83" i="11"/>
  <c r="AF42" i="11"/>
  <c r="AC42" i="11"/>
  <c r="AE42" i="11"/>
  <c r="AB42" i="11"/>
  <c r="AG42" i="11"/>
  <c r="AH42" i="11"/>
  <c r="AD59" i="11"/>
  <c r="AD42" i="11"/>
  <c r="AF17" i="11"/>
  <c r="AB17" i="11"/>
  <c r="AC17" i="11"/>
  <c r="AI11" i="11"/>
  <c r="AB43" i="11"/>
  <c r="AH16" i="11"/>
  <c r="AF83" i="11"/>
  <c r="AG16" i="11"/>
  <c r="AE65" i="11"/>
  <c r="AG83" i="11"/>
  <c r="AB83" i="11"/>
  <c r="AE29" i="11"/>
  <c r="AG29" i="11"/>
  <c r="AD29" i="11"/>
  <c r="AE91" i="11"/>
  <c r="AB91" i="11"/>
  <c r="AG91" i="11"/>
  <c r="AD91" i="11"/>
  <c r="AC91" i="11"/>
  <c r="AH91" i="11"/>
  <c r="AC43" i="11"/>
  <c r="AE43" i="11"/>
  <c r="AD43" i="11"/>
  <c r="AH43" i="11"/>
  <c r="AG43" i="11"/>
  <c r="AI43" i="11"/>
  <c r="AC59" i="11"/>
  <c r="AD83" i="11"/>
  <c r="AF16" i="11"/>
  <c r="AB59" i="11"/>
  <c r="AG12" i="11"/>
  <c r="AD12" i="11"/>
  <c r="AE83" i="11"/>
  <c r="AH83" i="11"/>
  <c r="AC16" i="11"/>
  <c r="AI16" i="11"/>
  <c r="AE59" i="11"/>
  <c r="AI59" i="11"/>
  <c r="AH24" i="11"/>
  <c r="AG59" i="11"/>
  <c r="AF29" i="11"/>
  <c r="AI29" i="11"/>
  <c r="AH29" i="11"/>
  <c r="AC29" i="11"/>
  <c r="AF59" i="11"/>
  <c r="AI93" i="11"/>
  <c r="AF93" i="11"/>
  <c r="AI91" i="11"/>
  <c r="AD52" i="11"/>
  <c r="AB16" i="11"/>
  <c r="AE67" i="11"/>
  <c r="AG49" i="11"/>
  <c r="AG19" i="11"/>
  <c r="AD19" i="11"/>
  <c r="AH19" i="11"/>
  <c r="AF19" i="11"/>
  <c r="AB19" i="11"/>
  <c r="AD49" i="11"/>
  <c r="AB49" i="11"/>
  <c r="AE19" i="11"/>
  <c r="AC19" i="11"/>
  <c r="AE49" i="11"/>
  <c r="AI49" i="11"/>
  <c r="AI67" i="11"/>
  <c r="AC67" i="11"/>
  <c r="AF52" i="11"/>
  <c r="AE16" i="11"/>
  <c r="AF35" i="11"/>
  <c r="AB35" i="11"/>
  <c r="AC35" i="11"/>
  <c r="AD35" i="11"/>
  <c r="AH35" i="11"/>
  <c r="AF67" i="11"/>
  <c r="AC49" i="11"/>
  <c r="AE35" i="11"/>
  <c r="AH67" i="11"/>
  <c r="AH49" i="11"/>
  <c r="AG67" i="11"/>
  <c r="AD67" i="11"/>
  <c r="AG50" i="11"/>
  <c r="AC50" i="11"/>
  <c r="AF50" i="11"/>
  <c r="AH50" i="11"/>
  <c r="AE50" i="11"/>
  <c r="AI50" i="11"/>
  <c r="AI40" i="11"/>
  <c r="AF25" i="11"/>
  <c r="AG40" i="11"/>
  <c r="AB41" i="11"/>
  <c r="AC41" i="11"/>
  <c r="AI41" i="11"/>
  <c r="AH41" i="11"/>
  <c r="AE41" i="11"/>
  <c r="AD41" i="11"/>
  <c r="AE12" i="11"/>
  <c r="AB24" i="11"/>
  <c r="AH52" i="11"/>
  <c r="AI12" i="11"/>
  <c r="AG24" i="11"/>
  <c r="AF24" i="11"/>
  <c r="AE93" i="11"/>
  <c r="AH93" i="11"/>
  <c r="AB65" i="11"/>
  <c r="AE40" i="11"/>
  <c r="AD93" i="11"/>
  <c r="AC93" i="11"/>
  <c r="AH12" i="11"/>
  <c r="AG65" i="11"/>
  <c r="AF12" i="11"/>
  <c r="AH65" i="11"/>
  <c r="AG52" i="11"/>
  <c r="AD40" i="11"/>
  <c r="AG93" i="11"/>
  <c r="AB12" i="11"/>
  <c r="AH38" i="11"/>
  <c r="AI52" i="11"/>
  <c r="AD50" i="11"/>
  <c r="AF40" i="11"/>
  <c r="AE24" i="11"/>
  <c r="AC52" i="11"/>
  <c r="AD24" i="11"/>
  <c r="AB40" i="11"/>
  <c r="AC24" i="11"/>
  <c r="AH40" i="11"/>
  <c r="AI65" i="11"/>
  <c r="AC65" i="11"/>
  <c r="AE66" i="11"/>
  <c r="AD68" i="11"/>
  <c r="AI68" i="11"/>
  <c r="AH66" i="11"/>
  <c r="AE68" i="11"/>
  <c r="AC68" i="11"/>
  <c r="AG68" i="11"/>
  <c r="AF68" i="11"/>
  <c r="AH68" i="11"/>
  <c r="AI77" i="11"/>
  <c r="AD65" i="11"/>
  <c r="AC77" i="11"/>
  <c r="AH32" i="11"/>
  <c r="AE32" i="11"/>
  <c r="AD77" i="11"/>
  <c r="AG77" i="11"/>
  <c r="AH77" i="11"/>
  <c r="AE77" i="11"/>
  <c r="AB77" i="11"/>
  <c r="AE38" i="11"/>
  <c r="AD38" i="11"/>
  <c r="AG38" i="11"/>
  <c r="AI38" i="11"/>
  <c r="AH11" i="11"/>
  <c r="AC38" i="11"/>
  <c r="AB38" i="11"/>
  <c r="AF11" i="11"/>
  <c r="AI39" i="11"/>
  <c r="AB11" i="11"/>
  <c r="AH39" i="11"/>
  <c r="AE11" i="11"/>
  <c r="AD39" i="11"/>
  <c r="AC11" i="11"/>
  <c r="AF39" i="11"/>
  <c r="AC8" i="11"/>
  <c r="AH8" i="11"/>
  <c r="AD8" i="11"/>
  <c r="AB8" i="11"/>
  <c r="W8" i="11" s="1"/>
  <c r="AF8" i="11"/>
  <c r="AD11" i="11"/>
  <c r="AC39" i="11"/>
  <c r="AB39" i="11"/>
  <c r="AG39" i="11"/>
  <c r="AH36" i="11"/>
  <c r="AI25" i="11"/>
  <c r="AG25" i="11"/>
  <c r="AH25" i="11"/>
  <c r="AB25" i="11"/>
  <c r="AE25" i="11"/>
  <c r="AB36" i="11"/>
  <c r="AC25" i="11"/>
  <c r="AC36" i="11"/>
  <c r="AE8" i="11"/>
  <c r="AF36" i="11"/>
  <c r="AI8" i="11"/>
  <c r="AD36" i="11"/>
  <c r="AE36" i="11"/>
  <c r="AF41" i="11"/>
  <c r="AG36" i="11"/>
  <c r="AE20" i="11"/>
  <c r="AB20" i="11"/>
  <c r="AG20" i="11"/>
  <c r="AD20" i="11"/>
  <c r="AC20" i="11"/>
  <c r="AF20" i="11"/>
  <c r="AG45" i="11"/>
  <c r="AC45" i="11"/>
  <c r="AF45" i="11"/>
  <c r="AF66" i="11"/>
  <c r="AG66" i="11"/>
  <c r="AB66" i="11"/>
  <c r="AD66" i="11"/>
  <c r="AI66" i="11"/>
  <c r="AH45" i="11"/>
  <c r="AI45" i="11"/>
  <c r="AD45" i="11"/>
  <c r="AB52" i="11"/>
  <c r="AH20" i="11"/>
  <c r="AB45" i="11"/>
  <c r="AC48" i="11"/>
  <c r="AD48" i="11"/>
  <c r="AF48" i="11"/>
  <c r="AI48" i="11"/>
  <c r="AB48" i="11"/>
  <c r="AG48" i="11"/>
  <c r="AE48" i="11"/>
  <c r="AC82" i="11"/>
  <c r="AH82" i="11"/>
  <c r="AI82" i="11"/>
  <c r="AD82" i="11"/>
  <c r="AF18" i="11"/>
  <c r="AE18" i="11"/>
  <c r="AD32" i="11"/>
  <c r="AG32" i="11"/>
  <c r="AF32" i="11"/>
  <c r="AB32" i="11"/>
  <c r="AI32" i="11"/>
  <c r="AF82" i="11"/>
  <c r="AG82" i="11"/>
  <c r="AE82" i="11"/>
  <c r="AC10" i="11"/>
  <c r="AF10" i="11"/>
  <c r="AH10" i="11"/>
  <c r="AI10" i="11"/>
  <c r="AD10" i="11"/>
  <c r="AB10" i="11"/>
  <c r="AE10" i="11"/>
  <c r="AF44" i="11"/>
  <c r="AE44" i="11"/>
  <c r="AG47" i="11"/>
  <c r="AD47" i="11"/>
  <c r="AF47" i="11"/>
  <c r="AE47" i="11"/>
  <c r="AI47" i="11"/>
  <c r="AC18" i="11"/>
  <c r="AC76" i="11"/>
  <c r="AI18" i="11"/>
  <c r="AH18" i="11"/>
  <c r="AG18" i="11"/>
  <c r="AB18" i="11"/>
  <c r="AH44" i="11"/>
  <c r="AE76" i="11"/>
  <c r="AC6" i="11"/>
  <c r="AB6" i="11"/>
  <c r="AD6" i="11"/>
  <c r="AF6" i="11"/>
  <c r="AG6" i="11"/>
  <c r="AH76" i="11"/>
  <c r="AI76" i="11"/>
  <c r="AB76" i="11"/>
  <c r="AC95" i="11"/>
  <c r="AB95" i="11"/>
  <c r="AE95" i="11"/>
  <c r="AH95" i="11"/>
  <c r="AE6" i="11"/>
  <c r="AB47" i="11"/>
  <c r="AF76" i="11"/>
  <c r="AH6" i="11"/>
  <c r="AC47" i="11"/>
  <c r="AD76" i="11"/>
  <c r="AC44" i="11"/>
  <c r="AI44" i="11"/>
  <c r="AB44" i="11"/>
  <c r="AI95" i="11"/>
  <c r="AG44" i="11"/>
  <c r="AF95" i="11"/>
  <c r="AG95" i="11"/>
  <c r="AK62" i="11"/>
  <c r="W62" i="11"/>
  <c r="AA61" i="11"/>
  <c r="AK61" i="11"/>
  <c r="AK60" i="11"/>
  <c r="AA60" i="11"/>
  <c r="AA85" i="11"/>
  <c r="AK85" i="11"/>
  <c r="AK86" i="11"/>
  <c r="AA86" i="11"/>
  <c r="W87" i="11"/>
  <c r="AA89" i="11"/>
  <c r="AK89" i="11"/>
  <c r="AA88" i="11"/>
  <c r="AK88" i="11"/>
  <c r="W90" i="11"/>
  <c r="AA98" i="11"/>
  <c r="AK98" i="11"/>
  <c r="AA99" i="11"/>
  <c r="AK99" i="11"/>
  <c r="AK80" i="11"/>
  <c r="AA80" i="11"/>
  <c r="AA79" i="11"/>
  <c r="AK79" i="11"/>
  <c r="W81" i="11"/>
  <c r="H101" i="11"/>
  <c r="H103" i="11" s="1"/>
  <c r="AK63" i="11"/>
  <c r="AA63" i="11"/>
  <c r="W64" i="11"/>
  <c r="X154" i="11"/>
  <c r="AA73" i="11"/>
  <c r="AK73" i="11"/>
  <c r="AK74" i="11"/>
  <c r="AA74" i="11"/>
  <c r="W75" i="11"/>
  <c r="AA57" i="11"/>
  <c r="AK57" i="11"/>
  <c r="AK56" i="11"/>
  <c r="AA56" i="11"/>
  <c r="W58" i="11"/>
  <c r="AK69" i="11"/>
  <c r="AA69" i="11"/>
  <c r="AA70" i="11"/>
  <c r="AK70" i="11"/>
  <c r="F103" i="11"/>
  <c r="W71" i="11"/>
  <c r="U103" i="11"/>
  <c r="U105" i="11"/>
  <c r="U104" i="11"/>
  <c r="K102" i="11"/>
  <c r="J101" i="11"/>
  <c r="J102" i="11"/>
  <c r="K101" i="11"/>
  <c r="AA62" i="11" l="1"/>
  <c r="AE62" i="11" s="1"/>
  <c r="AD61" i="11"/>
  <c r="AG61" i="11"/>
  <c r="AE61" i="11"/>
  <c r="AF61" i="11"/>
  <c r="AH61" i="11"/>
  <c r="AB61" i="11"/>
  <c r="AI61" i="11"/>
  <c r="AC61" i="11"/>
  <c r="AC60" i="11"/>
  <c r="AE60" i="11"/>
  <c r="AG60" i="11"/>
  <c r="AB60" i="11"/>
  <c r="AD60" i="11"/>
  <c r="AI60" i="11"/>
  <c r="AF60" i="11"/>
  <c r="AH60" i="11"/>
  <c r="AA87" i="11"/>
  <c r="AK87" i="11"/>
  <c r="AF85" i="11"/>
  <c r="AC85" i="11"/>
  <c r="AI85" i="11"/>
  <c r="AH85" i="11"/>
  <c r="AD85" i="11"/>
  <c r="AB85" i="11"/>
  <c r="AG85" i="11"/>
  <c r="AE85" i="11"/>
  <c r="AE86" i="11"/>
  <c r="AC86" i="11"/>
  <c r="AD86" i="11"/>
  <c r="AB86" i="11"/>
  <c r="AI86" i="11"/>
  <c r="AH86" i="11"/>
  <c r="AF86" i="11"/>
  <c r="AG86" i="11"/>
  <c r="AB88" i="11"/>
  <c r="AH88" i="11"/>
  <c r="AF88" i="11"/>
  <c r="AI88" i="11"/>
  <c r="AC88" i="11"/>
  <c r="AD88" i="11"/>
  <c r="AE88" i="11"/>
  <c r="AG88" i="11"/>
  <c r="AK90" i="11"/>
  <c r="AA90" i="11"/>
  <c r="AI89" i="11"/>
  <c r="AE89" i="11"/>
  <c r="AD89" i="11"/>
  <c r="AH89" i="11"/>
  <c r="AB89" i="11"/>
  <c r="AC89" i="11"/>
  <c r="AG89" i="11"/>
  <c r="AF89" i="11"/>
  <c r="AD98" i="11"/>
  <c r="AE98" i="11"/>
  <c r="AB98" i="11"/>
  <c r="AI98" i="11"/>
  <c r="AF98" i="11"/>
  <c r="AC98" i="11"/>
  <c r="AG98" i="11"/>
  <c r="AH98" i="11"/>
  <c r="AG99" i="11"/>
  <c r="AE99" i="11"/>
  <c r="AF99" i="11"/>
  <c r="AB99" i="11"/>
  <c r="AH99" i="11"/>
  <c r="AC99" i="11"/>
  <c r="AD99" i="11"/>
  <c r="AI99" i="11"/>
  <c r="AF79" i="11"/>
  <c r="AH79" i="11"/>
  <c r="AC79" i="11"/>
  <c r="AB79" i="11"/>
  <c r="AG79" i="11"/>
  <c r="AI79" i="11"/>
  <c r="AE79" i="11"/>
  <c r="AD79" i="11"/>
  <c r="AG80" i="11"/>
  <c r="AD80" i="11"/>
  <c r="AI80" i="11"/>
  <c r="AH80" i="11"/>
  <c r="AB80" i="11"/>
  <c r="AC80" i="11"/>
  <c r="AF80" i="11"/>
  <c r="AE80" i="11"/>
  <c r="AA81" i="11"/>
  <c r="AK81" i="11"/>
  <c r="AK64" i="11"/>
  <c r="AA64" i="11"/>
  <c r="AD63" i="11"/>
  <c r="AF63" i="11"/>
  <c r="AB63" i="11"/>
  <c r="AE63" i="11"/>
  <c r="AH63" i="11"/>
  <c r="AC63" i="11"/>
  <c r="AI63" i="11"/>
  <c r="AG63" i="11"/>
  <c r="X155" i="11"/>
  <c r="X156" i="11" s="1"/>
  <c r="AK75" i="11"/>
  <c r="AA75" i="11"/>
  <c r="AG74" i="11"/>
  <c r="AH74" i="11"/>
  <c r="AF74" i="11"/>
  <c r="AI74" i="11"/>
  <c r="AB74" i="11"/>
  <c r="AC74" i="11"/>
  <c r="AE74" i="11"/>
  <c r="AD74" i="11"/>
  <c r="W102" i="11"/>
  <c r="AG73" i="11"/>
  <c r="AC73" i="11"/>
  <c r="AD73" i="11"/>
  <c r="AI73" i="11"/>
  <c r="AH73" i="11"/>
  <c r="AE73" i="11"/>
  <c r="AF73" i="11"/>
  <c r="AB73" i="11"/>
  <c r="AK58" i="11"/>
  <c r="AA58" i="11"/>
  <c r="AI56" i="11"/>
  <c r="AC56" i="11"/>
  <c r="AH56" i="11"/>
  <c r="AB56" i="11"/>
  <c r="AE56" i="11"/>
  <c r="AF56" i="11"/>
  <c r="AD56" i="11"/>
  <c r="AG56" i="11"/>
  <c r="AE57" i="11"/>
  <c r="AG57" i="11"/>
  <c r="AC57" i="11"/>
  <c r="AB57" i="11"/>
  <c r="AD57" i="11"/>
  <c r="AH57" i="11"/>
  <c r="AI57" i="11"/>
  <c r="AF57" i="11"/>
  <c r="AF4" i="14"/>
  <c r="AH4" i="14"/>
  <c r="J103" i="11"/>
  <c r="AG4" i="14" s="1"/>
  <c r="K105" i="11"/>
  <c r="K103" i="11"/>
  <c r="AI4" i="14" s="1"/>
  <c r="AC70" i="11"/>
  <c r="AG70" i="11"/>
  <c r="AD70" i="11"/>
  <c r="AB70" i="11"/>
  <c r="AE70" i="11"/>
  <c r="AH70" i="11"/>
  <c r="AF70" i="11"/>
  <c r="AI70" i="11"/>
  <c r="W101" i="11"/>
  <c r="AH69" i="11"/>
  <c r="AG69" i="11"/>
  <c r="AC69" i="11"/>
  <c r="AI69" i="11"/>
  <c r="AE69" i="11"/>
  <c r="AF69" i="11"/>
  <c r="AD69" i="11"/>
  <c r="AB69" i="11"/>
  <c r="AK71" i="11"/>
  <c r="AA71" i="11"/>
  <c r="V20" i="11"/>
  <c r="V87" i="11"/>
  <c r="V19" i="11"/>
  <c r="V72" i="11"/>
  <c r="V80" i="11"/>
  <c r="V100" i="11"/>
  <c r="V73" i="11"/>
  <c r="V70" i="11"/>
  <c r="V95" i="11"/>
  <c r="V92" i="11"/>
  <c r="V26" i="11"/>
  <c r="V10" i="11"/>
  <c r="V6" i="11"/>
  <c r="V99" i="11"/>
  <c r="V7" i="11"/>
  <c r="V60" i="11"/>
  <c r="V36" i="11"/>
  <c r="V83" i="11"/>
  <c r="V86" i="11"/>
  <c r="V79" i="11"/>
  <c r="V82" i="11"/>
  <c r="V56" i="11"/>
  <c r="V42" i="11"/>
  <c r="V65" i="11"/>
  <c r="V97" i="11"/>
  <c r="V33" i="11"/>
  <c r="V12" i="11"/>
  <c r="V59" i="11"/>
  <c r="V54" i="11"/>
  <c r="V49" i="11"/>
  <c r="V50" i="11"/>
  <c r="V68" i="11"/>
  <c r="V13" i="11"/>
  <c r="V5" i="11"/>
  <c r="V62" i="11"/>
  <c r="V24" i="11"/>
  <c r="V85" i="11"/>
  <c r="V27" i="11"/>
  <c r="V16" i="11"/>
  <c r="V64" i="11"/>
  <c r="V94" i="11"/>
  <c r="V30" i="11"/>
  <c r="V89" i="11"/>
  <c r="V43" i="11"/>
  <c r="V57" i="11"/>
  <c r="V93" i="11"/>
  <c r="V34" i="11"/>
  <c r="V18" i="11"/>
  <c r="V76" i="11"/>
  <c r="V98" i="11"/>
  <c r="V31" i="11"/>
  <c r="V15" i="11"/>
  <c r="V75" i="11"/>
  <c r="V69" i="11"/>
  <c r="V32" i="11"/>
  <c r="V78" i="11"/>
  <c r="V23" i="11"/>
  <c r="V48" i="11"/>
  <c r="V88" i="11"/>
  <c r="V22" i="11"/>
  <c r="V41" i="11"/>
  <c r="V11" i="11"/>
  <c r="V53" i="11"/>
  <c r="V40" i="11"/>
  <c r="V47" i="11"/>
  <c r="V84" i="11"/>
  <c r="V63" i="11"/>
  <c r="V14" i="11"/>
  <c r="V77" i="11"/>
  <c r="V25" i="11"/>
  <c r="V4" i="11"/>
  <c r="V8" i="11"/>
  <c r="V96" i="11"/>
  <c r="V66" i="11"/>
  <c r="V45" i="11"/>
  <c r="V3" i="11"/>
  <c r="V35" i="11"/>
  <c r="V37" i="11"/>
  <c r="V81" i="11"/>
  <c r="V17" i="11"/>
  <c r="V38" i="11"/>
  <c r="V52" i="11"/>
  <c r="V39" i="11"/>
  <c r="V90" i="11"/>
  <c r="V67" i="11"/>
  <c r="V46" i="11"/>
  <c r="V91" i="11"/>
  <c r="V61" i="11"/>
  <c r="V58" i="11"/>
  <c r="V55" i="11"/>
  <c r="V44" i="11"/>
  <c r="V51" i="11"/>
  <c r="V29" i="11"/>
  <c r="V21" i="11"/>
  <c r="V28" i="11"/>
  <c r="V71" i="11"/>
  <c r="V74" i="11"/>
  <c r="V9" i="11"/>
  <c r="AD62" i="11" l="1"/>
  <c r="AF62" i="11"/>
  <c r="AH62" i="11"/>
  <c r="AG62" i="11"/>
  <c r="AI62" i="11"/>
  <c r="AB62" i="11"/>
  <c r="AC62" i="11"/>
  <c r="AC87" i="11"/>
  <c r="AI87" i="11"/>
  <c r="AD87" i="11"/>
  <c r="AG87" i="11"/>
  <c r="AB87" i="11"/>
  <c r="AH87" i="11"/>
  <c r="AE87" i="11"/>
  <c r="AF87" i="11"/>
  <c r="AI90" i="11"/>
  <c r="AD90" i="11"/>
  <c r="AE90" i="11"/>
  <c r="AB90" i="11"/>
  <c r="AC90" i="11"/>
  <c r="AH90" i="11"/>
  <c r="AG90" i="11"/>
  <c r="AF90" i="11"/>
  <c r="AE81" i="11"/>
  <c r="AF81" i="11"/>
  <c r="AG81" i="11"/>
  <c r="AI81" i="11"/>
  <c r="AH81" i="11"/>
  <c r="AB81" i="11"/>
  <c r="AC81" i="11"/>
  <c r="AD81" i="11"/>
  <c r="AE64" i="11"/>
  <c r="AB64" i="11"/>
  <c r="AC64" i="11"/>
  <c r="AF64" i="11"/>
  <c r="AH64" i="11"/>
  <c r="AG64" i="11"/>
  <c r="AI64" i="11"/>
  <c r="AD64" i="11"/>
  <c r="X157" i="11"/>
  <c r="W105" i="11"/>
  <c r="AF75" i="11"/>
  <c r="AG75" i="11"/>
  <c r="AH75" i="11"/>
  <c r="AC75" i="11"/>
  <c r="AB75" i="11"/>
  <c r="AE75" i="11"/>
  <c r="AD75" i="11"/>
  <c r="AI75" i="11"/>
  <c r="AI58" i="11"/>
  <c r="AG58" i="11"/>
  <c r="AF58" i="11"/>
  <c r="AB58" i="11"/>
  <c r="AD58" i="11"/>
  <c r="AC58" i="11"/>
  <c r="AH58" i="11"/>
  <c r="AE58" i="11"/>
  <c r="W104" i="11"/>
  <c r="W103" i="11"/>
  <c r="AI71" i="11"/>
  <c r="AE71" i="11"/>
  <c r="AC71" i="11"/>
  <c r="AG71" i="11"/>
  <c r="AD71" i="11"/>
  <c r="AB71" i="11"/>
  <c r="AH71" i="11"/>
  <c r="AF71" i="11"/>
  <c r="V102" i="11"/>
  <c r="V101" i="11"/>
  <c r="X158" i="11" l="1"/>
  <c r="X159" i="11" s="1"/>
  <c r="X160" i="11" s="1"/>
  <c r="X161" i="11" s="1"/>
  <c r="X162" i="11" s="1"/>
  <c r="X163" i="11" s="1"/>
  <c r="X164" i="11" s="1"/>
  <c r="X165" i="11" s="1"/>
  <c r="X166" i="11" s="1"/>
  <c r="X167" i="11" s="1"/>
  <c r="X168" i="11" s="1"/>
  <c r="X169" i="11" s="1"/>
  <c r="X170" i="11" s="1"/>
  <c r="X171" i="11" s="1"/>
  <c r="X172" i="11" s="1"/>
  <c r="X173" i="11" s="1"/>
  <c r="X174" i="11" s="1"/>
  <c r="X51" i="11"/>
  <c r="AB102" i="11"/>
  <c r="AD101" i="11"/>
  <c r="T4" i="14" s="1"/>
  <c r="AG102" i="11"/>
  <c r="AC102" i="11"/>
  <c r="AI101" i="11"/>
  <c r="AD4" i="14" s="1"/>
  <c r="X100" i="11"/>
  <c r="X68" i="11"/>
  <c r="X77" i="11"/>
  <c r="X76" i="11"/>
  <c r="X23" i="11"/>
  <c r="X9" i="11"/>
  <c r="X4" i="11"/>
  <c r="X36" i="11"/>
  <c r="X61" i="11"/>
  <c r="X69" i="11"/>
  <c r="X87" i="11"/>
  <c r="X37" i="11"/>
  <c r="X19" i="11"/>
  <c r="X91" i="11"/>
  <c r="X65" i="11"/>
  <c r="X85" i="11"/>
  <c r="X59" i="11"/>
  <c r="X31" i="11"/>
  <c r="X53" i="11"/>
  <c r="X42" i="11"/>
  <c r="X39" i="11"/>
  <c r="X41" i="11"/>
  <c r="X24" i="11"/>
  <c r="X22" i="11"/>
  <c r="X58" i="11"/>
  <c r="X57" i="11"/>
  <c r="X55" i="11"/>
  <c r="X46" i="11"/>
  <c r="X12" i="11"/>
  <c r="X15" i="11"/>
  <c r="X98" i="11"/>
  <c r="X83" i="11"/>
  <c r="X84" i="11"/>
  <c r="AE101" i="11"/>
  <c r="V4" i="14" s="1"/>
  <c r="X62" i="11"/>
  <c r="X48" i="11"/>
  <c r="X17" i="11"/>
  <c r="X82" i="11"/>
  <c r="X74" i="11"/>
  <c r="X47" i="11"/>
  <c r="X94" i="11"/>
  <c r="X56" i="11"/>
  <c r="X63" i="11"/>
  <c r="X11" i="11"/>
  <c r="X14" i="11"/>
  <c r="X7" i="11"/>
  <c r="X49" i="11"/>
  <c r="X99" i="11"/>
  <c r="X43" i="11"/>
  <c r="X35" i="11"/>
  <c r="X72" i="11"/>
  <c r="X10" i="11"/>
  <c r="AF102" i="11"/>
  <c r="X96" i="11"/>
  <c r="X78" i="11"/>
  <c r="X97" i="11"/>
  <c r="X54" i="11"/>
  <c r="X81" i="11"/>
  <c r="X67" i="11"/>
  <c r="X40" i="11"/>
  <c r="X89" i="11"/>
  <c r="X34" i="11"/>
  <c r="X66" i="11"/>
  <c r="X29" i="11"/>
  <c r="X92" i="11"/>
  <c r="X3" i="11"/>
  <c r="X70" i="11"/>
  <c r="X20" i="11"/>
  <c r="X30" i="11"/>
  <c r="X52" i="11"/>
  <c r="X6" i="11"/>
  <c r="X21" i="11"/>
  <c r="X79" i="11"/>
  <c r="AI102" i="11"/>
  <c r="X88" i="11"/>
  <c r="X18" i="11"/>
  <c r="X45" i="11"/>
  <c r="X60" i="11"/>
  <c r="X38" i="11"/>
  <c r="X80" i="11"/>
  <c r="X13" i="11"/>
  <c r="X90" i="11"/>
  <c r="AE102" i="11"/>
  <c r="X64" i="11"/>
  <c r="X28" i="11"/>
  <c r="X86" i="11"/>
  <c r="X16" i="11"/>
  <c r="X75" i="11"/>
  <c r="X5" i="11"/>
  <c r="X25" i="11"/>
  <c r="X33" i="11"/>
  <c r="X26" i="11"/>
  <c r="X95" i="11"/>
  <c r="X32" i="11"/>
  <c r="X73" i="11"/>
  <c r="X50" i="11"/>
  <c r="X93" i="11"/>
  <c r="X8" i="11"/>
  <c r="X27" i="11"/>
  <c r="X71" i="11"/>
  <c r="X44" i="11"/>
  <c r="AH101" i="11"/>
  <c r="AB4" i="14" s="1"/>
  <c r="AH102" i="11"/>
  <c r="AF101" i="11"/>
  <c r="X4" i="14" s="1"/>
  <c r="AD102" i="11"/>
  <c r="AG101" i="11"/>
  <c r="Z4" i="14" s="1"/>
  <c r="AB101" i="11"/>
  <c r="P4" i="14" s="1"/>
  <c r="AC101" i="11"/>
  <c r="R4" i="14" s="1"/>
  <c r="V103" i="11"/>
  <c r="V104" i="11"/>
  <c r="V105" i="11"/>
  <c r="AD103" i="11" l="1"/>
  <c r="U4" i="14" s="1"/>
  <c r="AI103" i="11"/>
  <c r="AE4" i="14" s="1"/>
  <c r="AE103" i="11"/>
  <c r="W4" i="14" s="1"/>
  <c r="X102" i="11"/>
  <c r="X101" i="11"/>
  <c r="AH103" i="11"/>
  <c r="AC4" i="14" s="1"/>
  <c r="AG103" i="11"/>
  <c r="AA4" i="14" s="1"/>
  <c r="AB103" i="11"/>
  <c r="Q4" i="14" s="1"/>
  <c r="AC103" i="11"/>
  <c r="S4" i="14" s="1"/>
  <c r="AF103" i="11"/>
  <c r="Y4" i="14" s="1"/>
  <c r="X103" i="11" l="1"/>
  <c r="X105" i="11"/>
  <c r="X104" i="11"/>
  <c r="Y67" i="11" l="1"/>
  <c r="Y56" i="11"/>
  <c r="Y92" i="11"/>
  <c r="Y27" i="11"/>
  <c r="Y18" i="11"/>
  <c r="Y44" i="11"/>
  <c r="Y16" i="11"/>
  <c r="Y74" i="11"/>
  <c r="Y71" i="11"/>
  <c r="Y5" i="11"/>
  <c r="Y81" i="11"/>
  <c r="Y72" i="11"/>
  <c r="Y62" i="11"/>
  <c r="Y33" i="11"/>
  <c r="Y65" i="11"/>
  <c r="Y86" i="11"/>
  <c r="Y77" i="11"/>
  <c r="Y90" i="11"/>
  <c r="Y96" i="11"/>
  <c r="Y15" i="11"/>
  <c r="Y87" i="11"/>
  <c r="Y28" i="11"/>
  <c r="Y60" i="11"/>
  <c r="Y40" i="11"/>
  <c r="Y37" i="11"/>
  <c r="Y20" i="11"/>
  <c r="Y57" i="11"/>
  <c r="Y79" i="11"/>
  <c r="Y69" i="11"/>
  <c r="Y9" i="11"/>
  <c r="Y14" i="11"/>
  <c r="Y46" i="11"/>
  <c r="Y58" i="11"/>
  <c r="Y10" i="11"/>
  <c r="Y43" i="11"/>
  <c r="Y22" i="11"/>
  <c r="Y54" i="11"/>
  <c r="Y76" i="11"/>
  <c r="Y68" i="11"/>
  <c r="Y25" i="11"/>
  <c r="Y35" i="11"/>
  <c r="Y3" i="11"/>
  <c r="Y4" i="11"/>
  <c r="Y88" i="11"/>
  <c r="Y52" i="11"/>
  <c r="Y63" i="11"/>
  <c r="Y32" i="11"/>
  <c r="Y13" i="11"/>
  <c r="Y89" i="11"/>
  <c r="Y83" i="11"/>
  <c r="Y66" i="11"/>
  <c r="Y7" i="11"/>
  <c r="Y45" i="11"/>
  <c r="Y34" i="11"/>
  <c r="Y55" i="11"/>
  <c r="Y36" i="11"/>
  <c r="Y93" i="11"/>
  <c r="Y30" i="11"/>
  <c r="Y59" i="11"/>
  <c r="Y70" i="11"/>
  <c r="Y100" i="11"/>
  <c r="Y48" i="11"/>
  <c r="Y41" i="11"/>
  <c r="Y95" i="11"/>
  <c r="Y23" i="11"/>
  <c r="Y24" i="11"/>
  <c r="Y11" i="11"/>
  <c r="Y80" i="11"/>
  <c r="Y97" i="11"/>
  <c r="Y82" i="11"/>
  <c r="Y73" i="11"/>
  <c r="Y78" i="11"/>
  <c r="Y98" i="11"/>
  <c r="Y38" i="11"/>
  <c r="Y26" i="11"/>
  <c r="Y61" i="11"/>
  <c r="Y12" i="11"/>
  <c r="Y64" i="11"/>
  <c r="Y91" i="11"/>
  <c r="Y8" i="11"/>
  <c r="Y21" i="11"/>
  <c r="Y51" i="11"/>
  <c r="Y29" i="11"/>
  <c r="Y17" i="11"/>
  <c r="Y85" i="11"/>
  <c r="Y99" i="11"/>
  <c r="Y49" i="11"/>
  <c r="Y84" i="11"/>
  <c r="Y39" i="11"/>
  <c r="Y47" i="11"/>
  <c r="Y6" i="11"/>
  <c r="Y42" i="11"/>
  <c r="Y19" i="11"/>
  <c r="Y94" i="11"/>
  <c r="Y31" i="11"/>
  <c r="Y53" i="11"/>
  <c r="Y50" i="11"/>
  <c r="Y75" i="11"/>
  <c r="Y101" i="11" l="1"/>
  <c r="Y102" i="11"/>
  <c r="Y103" i="11" l="1"/>
  <c r="Y105" i="11"/>
  <c r="Y104" i="11"/>
  <c r="Z98" i="11" l="1"/>
  <c r="Z94" i="11"/>
  <c r="Z28" i="11"/>
  <c r="Z27" i="11"/>
  <c r="Z77" i="11"/>
  <c r="Z44" i="11"/>
  <c r="Z38" i="11"/>
  <c r="Z57" i="11"/>
  <c r="Z24" i="11"/>
  <c r="Z47" i="11"/>
  <c r="Z8" i="11"/>
  <c r="Z17" i="11"/>
  <c r="Z73" i="11"/>
  <c r="Z5" i="11"/>
  <c r="Z81" i="11"/>
  <c r="Z61" i="11"/>
  <c r="Z18" i="11"/>
  <c r="Z40" i="11"/>
  <c r="Z14" i="11"/>
  <c r="Z100" i="11"/>
  <c r="Z89" i="11"/>
  <c r="Z96" i="11"/>
  <c r="Z12" i="11"/>
  <c r="Z23" i="11"/>
  <c r="Z85" i="11"/>
  <c r="Z79" i="11"/>
  <c r="Z26" i="11"/>
  <c r="Z7" i="11"/>
  <c r="Z67" i="11"/>
  <c r="Z33" i="11"/>
  <c r="Z32" i="11"/>
  <c r="Z71" i="11"/>
  <c r="Z6" i="11"/>
  <c r="Z9" i="11"/>
  <c r="Z49" i="11"/>
  <c r="Z95" i="11"/>
  <c r="Z84" i="11"/>
  <c r="Z20" i="11"/>
  <c r="Z41" i="11"/>
  <c r="Z66" i="11"/>
  <c r="Z87" i="11"/>
  <c r="Z15" i="11"/>
  <c r="Z88" i="11"/>
  <c r="Z97" i="11"/>
  <c r="Z72" i="11"/>
  <c r="Z35" i="11"/>
  <c r="Z99" i="11"/>
  <c r="Z25" i="11"/>
  <c r="Z92" i="11"/>
  <c r="Z68" i="11"/>
  <c r="Z80" i="11"/>
  <c r="Z22" i="11"/>
  <c r="Z75" i="11"/>
  <c r="Z93" i="11"/>
  <c r="Z48" i="11"/>
  <c r="Z30" i="11"/>
  <c r="Z29" i="11"/>
  <c r="Z19" i="11"/>
  <c r="Z45" i="11"/>
  <c r="Z34" i="11"/>
  <c r="Z36" i="11"/>
  <c r="Z63" i="11"/>
  <c r="Z65" i="11"/>
  <c r="Z76" i="11"/>
  <c r="Z58" i="11"/>
  <c r="Z50" i="11"/>
  <c r="Z4" i="11"/>
  <c r="Z74" i="11"/>
  <c r="Z86" i="11"/>
  <c r="Z53" i="11"/>
  <c r="Z59" i="11"/>
  <c r="Z60" i="11"/>
  <c r="Z31" i="11"/>
  <c r="Z55" i="11"/>
  <c r="Z82" i="11"/>
  <c r="Z69" i="11"/>
  <c r="Z56" i="11"/>
  <c r="Z21" i="11"/>
  <c r="Z43" i="11"/>
  <c r="Z62" i="11"/>
  <c r="Z10" i="11"/>
  <c r="Z83" i="11"/>
  <c r="Z70" i="11"/>
  <c r="Z13" i="11"/>
  <c r="Z91" i="11"/>
  <c r="Z51" i="11"/>
  <c r="Z64" i="11"/>
  <c r="Z16" i="11"/>
  <c r="Z52" i="11"/>
  <c r="Z46" i="11"/>
  <c r="Z37" i="11"/>
  <c r="Z42" i="11"/>
  <c r="Z54" i="11"/>
  <c r="Z39" i="11"/>
  <c r="Z3" i="11"/>
  <c r="Z78" i="11"/>
  <c r="Z11" i="11"/>
  <c r="Z90" i="11"/>
  <c r="Z102" i="11" l="1"/>
  <c r="Z101" i="11"/>
  <c r="Z103" i="11" l="1"/>
  <c r="Z104" i="11"/>
  <c r="Z10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Axel Gerdes</author>
    <author>PC Pyrit</author>
    <author>Axel</author>
    <author>Richard Albert</author>
  </authors>
  <commentList>
    <comment ref="AE1" authorId="0" shapeId="0" xr:uid="{00000000-0006-0000-0000-000001000000}">
      <text>
        <r>
          <rPr>
            <sz val="12"/>
            <color indexed="81"/>
            <rFont val="Arial"/>
            <family val="2"/>
          </rPr>
          <t xml:space="preserve">
     Input: spot diameter used (µm)
</t>
        </r>
      </text>
    </comment>
    <comment ref="T18" authorId="1" shapeId="0" xr:uid="{00000000-0006-0000-0000-000002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V18" authorId="1" shapeId="0" xr:uid="{00000000-0006-0000-0000-000003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Z18" authorId="1" shapeId="0" xr:uid="{00000000-0006-0000-0000-000004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AH18" authorId="0" shapeId="0" xr:uid="{00000000-0006-0000-0000-000005000000}">
      <text>
        <r>
          <rPr>
            <sz val="12"/>
            <color indexed="81"/>
            <rFont val="Arial"/>
            <family val="2"/>
          </rPr>
          <t xml:space="preserve">
B concentration (ppm) of primary Ref. Mat. 
used for calculation of the B concentration of the unknowns.     
</t>
        </r>
      </text>
    </comment>
    <comment ref="Y19" authorId="2" shapeId="0" xr:uid="{00000000-0006-0000-0000-000006000000}">
      <text>
        <r>
          <rPr>
            <b/>
            <sz val="12"/>
            <color indexed="81"/>
            <rFont val="Tahoma"/>
            <family val="2"/>
          </rPr>
          <t>se%</t>
        </r>
        <r>
          <rPr>
            <sz val="12"/>
            <color indexed="81"/>
            <rFont val="Tahoma"/>
            <family val="2"/>
          </rPr>
          <t xml:space="preserve">
</t>
        </r>
      </text>
    </comment>
    <comment ref="AA19" authorId="2" shapeId="0" xr:uid="{00000000-0006-0000-0000-000007000000}">
      <text>
        <r>
          <rPr>
            <b/>
            <sz val="12"/>
            <color indexed="81"/>
            <rFont val="Tahoma"/>
            <family val="2"/>
          </rPr>
          <t>se%</t>
        </r>
        <r>
          <rPr>
            <sz val="12"/>
            <color indexed="81"/>
            <rFont val="Tahoma"/>
            <family val="2"/>
          </rPr>
          <t xml:space="preserve">
</t>
        </r>
      </text>
    </comment>
    <comment ref="AB19" authorId="2" shapeId="0" xr:uid="{00000000-0006-0000-0000-000008000000}">
      <text>
        <r>
          <rPr>
            <b/>
            <sz val="12"/>
            <color indexed="81"/>
            <rFont val="Tahoma"/>
            <family val="2"/>
          </rPr>
          <t>se%</t>
        </r>
        <r>
          <rPr>
            <sz val="12"/>
            <color indexed="81"/>
            <rFont val="Tahoma"/>
            <family val="2"/>
          </rPr>
          <t xml:space="preserve">
</t>
        </r>
      </text>
    </comment>
    <comment ref="AX19" authorId="2" shapeId="0" xr:uid="{00000000-0006-0000-0000-000009000000}">
      <text>
        <r>
          <rPr>
            <b/>
            <sz val="12"/>
            <color indexed="81"/>
            <rFont val="Tahoma"/>
            <family val="2"/>
          </rPr>
          <t>2ppm</t>
        </r>
      </text>
    </comment>
    <comment ref="AA20" authorId="2" shapeId="0" xr:uid="{00000000-0006-0000-0000-00000A000000}">
      <text>
        <r>
          <rPr>
            <b/>
            <sz val="12"/>
            <color indexed="81"/>
            <rFont val="Tahoma"/>
            <family val="2"/>
          </rPr>
          <t>se%</t>
        </r>
        <r>
          <rPr>
            <sz val="12"/>
            <color indexed="81"/>
            <rFont val="Tahoma"/>
            <family val="2"/>
          </rPr>
          <t xml:space="preserve">
</t>
        </r>
      </text>
    </comment>
    <comment ref="AX20" authorId="2" shapeId="0" xr:uid="{00000000-0006-0000-0000-00000B000000}">
      <text>
        <r>
          <rPr>
            <b/>
            <sz val="12"/>
            <color indexed="81"/>
            <rFont val="Tahoma"/>
            <family val="2"/>
          </rPr>
          <t>2ppm</t>
        </r>
      </text>
    </comment>
    <comment ref="AX21" authorId="2" shapeId="0" xr:uid="{00000000-0006-0000-0000-00000C000000}">
      <text>
        <r>
          <rPr>
            <b/>
            <sz val="12"/>
            <color indexed="81"/>
            <rFont val="Tahoma"/>
            <family val="2"/>
          </rPr>
          <t>0.33ppm</t>
        </r>
      </text>
    </comment>
    <comment ref="AX22" authorId="2" shapeId="0" xr:uid="{00000000-0006-0000-0000-00000D000000}">
      <text>
        <r>
          <rPr>
            <b/>
            <sz val="12"/>
            <color indexed="81"/>
            <rFont val="Tahoma"/>
            <family val="2"/>
          </rPr>
          <t>0.33 ppm</t>
        </r>
        <r>
          <rPr>
            <sz val="12"/>
            <color indexed="81"/>
            <rFont val="Tahoma"/>
            <family val="2"/>
          </rPr>
          <t xml:space="preserve">
</t>
        </r>
      </text>
    </comment>
    <comment ref="AX23" authorId="2" shapeId="0" xr:uid="{00000000-0006-0000-0000-00000E000000}">
      <text>
        <r>
          <rPr>
            <b/>
            <sz val="12"/>
            <color indexed="81"/>
            <rFont val="Tahoma"/>
            <family val="2"/>
          </rPr>
          <t>0.1 ppm</t>
        </r>
      </text>
    </comment>
    <comment ref="U24" authorId="1" shapeId="0" xr:uid="{00000000-0006-0000-0000-00000F000000}">
      <text>
        <r>
          <rPr>
            <sz val="12"/>
            <color indexed="81"/>
            <rFont val="Arial"/>
            <family val="2"/>
          </rPr>
          <t xml:space="preserve">
Factor for calc sheet, that changes with current analysis number
</t>
        </r>
      </text>
    </comment>
    <comment ref="AX24" authorId="2" shapeId="0" xr:uid="{00000000-0006-0000-0000-000010000000}">
      <text>
        <r>
          <rPr>
            <b/>
            <sz val="12"/>
            <color indexed="81"/>
            <rFont val="Tahoma"/>
            <family val="2"/>
          </rPr>
          <t>0.1 ppm</t>
        </r>
      </text>
    </comment>
    <comment ref="AS25" authorId="3" shapeId="0" xr:uid="{00000000-0006-0000-0000-000011000000}">
      <text>
        <r>
          <rPr>
            <sz val="12"/>
            <color indexed="81"/>
            <rFont val="Arial"/>
            <family val="2"/>
          </rPr>
          <t xml:space="preserve">
This will account for the different volume ablated between
the primary reference material and the rest of the analysis.
It will affect the calculation of the concentrations.
</t>
        </r>
      </text>
    </comment>
    <comment ref="AX25" authorId="2" shapeId="0" xr:uid="{00000000-0006-0000-0000-000012000000}">
      <text>
        <r>
          <rPr>
            <b/>
            <sz val="12"/>
            <color indexed="81"/>
            <rFont val="Tahoma"/>
            <family val="2"/>
          </rPr>
          <t>0.1 ppm</t>
        </r>
      </text>
    </comment>
    <comment ref="AH26" authorId="3" shapeId="0" xr:uid="{00000000-0006-0000-0000-000013000000}">
      <text>
        <r>
          <rPr>
            <sz val="12"/>
            <color indexed="81"/>
            <rFont val="Arial"/>
            <family val="2"/>
          </rPr>
          <t xml:space="preserve">
</t>
        </r>
        <r>
          <rPr>
            <b/>
            <u/>
            <sz val="12"/>
            <color indexed="81"/>
            <rFont val="Arial"/>
            <family val="2"/>
          </rPr>
          <t>Additional uncertainties</t>
        </r>
        <r>
          <rPr>
            <sz val="12"/>
            <color indexed="81"/>
            <rFont val="Arial"/>
            <family val="2"/>
          </rPr>
          <t xml:space="preserve">
In this box you will find all options and information dealing with uncertainties.
Many uncertainties are propagated automatically (see comment on "Random"), others 
need to be inserted manually, such as the excess of variance or the log-term variance.
</t>
        </r>
      </text>
    </comment>
    <comment ref="N28" authorId="3" shapeId="0" xr:uid="{00000000-0006-0000-0000-000014000000}">
      <text>
        <r>
          <rPr>
            <sz val="12"/>
            <color indexed="81"/>
            <rFont val="Arial"/>
            <family val="2"/>
          </rPr>
          <t xml:space="preserve">
</t>
        </r>
        <r>
          <rPr>
            <b/>
            <u/>
            <sz val="12"/>
            <color indexed="81"/>
            <rFont val="Arial"/>
            <family val="2"/>
          </rPr>
          <t>Instrumental drift correction</t>
        </r>
        <r>
          <rPr>
            <sz val="12"/>
            <color indexed="81"/>
            <rFont val="Arial"/>
            <family val="2"/>
          </rPr>
          <t xml:space="preserve">
This is the inter-element, intra-sequence mass bias correction due to instrumental drift.
This correction is possible because of sample bracketing, i.e. bracketing groups of standards 
in-between samples when the analytical sequence is designed.
This correction is applied with a polynomial or lineal regression, on each ratio (and U cps) 
of the primary reference material, considering their position in the sequence (column Z).
To apply, type in the polynomial order (1 in case of linear)
</t>
        </r>
      </text>
    </comment>
    <comment ref="AA28" authorId="3" shapeId="0" xr:uid="{00000000-0006-0000-0000-000015000000}">
      <text>
        <r>
          <rPr>
            <sz val="12"/>
            <color indexed="81"/>
            <rFont val="Arial"/>
            <family val="2"/>
          </rPr>
          <t xml:space="preserve">
</t>
        </r>
        <r>
          <rPr>
            <b/>
            <u/>
            <sz val="12"/>
            <color indexed="81"/>
            <rFont val="Arial"/>
            <family val="2"/>
          </rPr>
          <t>Random uncertainties</t>
        </r>
        <r>
          <rPr>
            <sz val="12"/>
            <color indexed="81"/>
            <rFont val="Arial"/>
            <family val="2"/>
          </rPr>
          <t xml:space="preserve">
The standard deviation (SD) of the individual ratios (i.e. the "internal" uncertainty, that comes from calculating 
each individual ratio, in "calc" sheet) is always propagated (the ratio is calculated as "mean of ratios", 
see Fisher et al., 2010, and "calc" sheet to change to the log-ratio space).
This SD is from the common Pb or non cPb ratio, depending if column AW ("cPb?") is equal to 1, or if it isn't.
If this column is 1, the uncertainty from the common Pb correction is also propagated.
The excess of scatter (Ɛ</t>
        </r>
        <r>
          <rPr>
            <vertAlign val="superscript"/>
            <sz val="12"/>
            <color indexed="81"/>
            <rFont val="Arial"/>
            <family val="2"/>
          </rPr>
          <t>2</t>
        </r>
        <r>
          <rPr>
            <sz val="12"/>
            <color indexed="81"/>
            <rFont val="Arial"/>
            <family val="2"/>
          </rPr>
          <t xml:space="preserve">, see pt. 5 in Horstwood et al., 2016) derived from the primary reference material is always propagated.
This excess of scatter is calculated after drift-over-time correction and applied on the respective ratios.
The rest of the uncertainties can be selected / chosen within this box.
</t>
        </r>
      </text>
    </comment>
    <comment ref="AF28" authorId="3" shapeId="0" xr:uid="{00000000-0006-0000-0000-000016000000}">
      <text>
        <r>
          <rPr>
            <sz val="12"/>
            <color indexed="81"/>
            <rFont val="Arial"/>
            <family val="2"/>
          </rPr>
          <t xml:space="preserve">
</t>
        </r>
        <r>
          <rPr>
            <b/>
            <u/>
            <sz val="12"/>
            <color indexed="81"/>
            <rFont val="Arial"/>
            <family val="2"/>
          </rPr>
          <t>Systematic uncertainties</t>
        </r>
        <r>
          <rPr>
            <sz val="12"/>
            <color indexed="81"/>
            <rFont val="Arial"/>
            <family val="2"/>
          </rPr>
          <t xml:space="preserve">
Systematic uncertainties constitute limiting uncertainties (the uncertainty level below which
 the final uncertainty cannot be quoted) and cannot be reduced by increasing the number of data points.
See pt. 8 in Horstwood et al., 2016.
This new uncertainty will appear next to the non-expanded uncertainty. E.g: 250 ± 5 / 10 Ma, 
and it is applied to the ratio uncertainty before calculation of the age uncertainty.
</t>
        </r>
      </text>
    </comment>
    <comment ref="K30" authorId="3" shapeId="0" xr:uid="{00000000-0006-0000-0000-000017000000}">
      <text>
        <r>
          <rPr>
            <sz val="12"/>
            <color indexed="81"/>
            <rFont val="Arial"/>
            <family val="2"/>
          </rPr>
          <t xml:space="preserve">
Order of the polynomial fitting to apply to each ratio.
Order of 6 and above currently not available.
After changing the order click update plots.
</t>
        </r>
      </text>
    </comment>
    <comment ref="L30" authorId="3" shapeId="0" xr:uid="{00000000-0006-0000-0000-000018000000}">
      <text>
        <r>
          <rPr>
            <sz val="12"/>
            <color indexed="81"/>
            <rFont val="Arial"/>
            <family val="2"/>
          </rPr>
          <t xml:space="preserve">
These are the coeficients of the polynomic equation that models the drift over time of each ratio
</t>
        </r>
      </text>
    </comment>
    <comment ref="AC30" authorId="3" shapeId="0" xr:uid="{00000000-0006-0000-0000-000019000000}">
      <text>
        <r>
          <rPr>
            <sz val="12"/>
            <color indexed="81"/>
            <rFont val="Arial"/>
            <family val="2"/>
          </rPr>
          <t xml:space="preserve">
   0: do not include
   1: include 
</t>
        </r>
      </text>
    </comment>
    <comment ref="AG30" authorId="3" shapeId="0" xr:uid="{00000000-0006-0000-0000-00001A000000}">
      <text>
        <r>
          <rPr>
            <sz val="12"/>
            <color indexed="81"/>
            <rFont val="Arial"/>
            <family val="2"/>
          </rPr>
          <t xml:space="preserve">
Ratio uncertainty of the primary (or offset) reference material
used for normalisation (see pt. 8.1 in Horstwood et al., 2016).
</t>
        </r>
      </text>
    </comment>
    <comment ref="AH30" authorId="3" shapeId="0" xr:uid="{00000000-0006-0000-0000-00001B000000}">
      <text>
        <r>
          <rPr>
            <sz val="12"/>
            <color indexed="81"/>
            <rFont val="Arial"/>
            <family val="2"/>
          </rPr>
          <t xml:space="preserve">
   0: do not include
   1: include 
</t>
        </r>
      </text>
    </comment>
    <comment ref="AI30" authorId="3" shapeId="0" xr:uid="{00000000-0006-0000-0000-00001C000000}">
      <text>
        <r>
          <rPr>
            <sz val="12"/>
            <color indexed="81"/>
            <rFont val="Arial"/>
            <family val="2"/>
          </rPr>
          <t xml:space="preserve">
   Add as percent 2 sigma
</t>
        </r>
      </text>
    </comment>
    <comment ref="AC31" authorId="3" shapeId="0" xr:uid="{00000000-0006-0000-0000-00001D000000}">
      <text>
        <r>
          <rPr>
            <sz val="12"/>
            <color indexed="81"/>
            <rFont val="Arial"/>
            <family val="2"/>
          </rPr>
          <t xml:space="preserve">
   0: do not include
   1: include 
</t>
        </r>
      </text>
    </comment>
    <comment ref="AG31" authorId="3" shapeId="0" xr:uid="{00000000-0006-0000-0000-00001E000000}">
      <text>
        <r>
          <rPr>
            <sz val="12"/>
            <color indexed="81"/>
            <rFont val="Arial"/>
            <family val="2"/>
          </rPr>
          <t xml:space="preserve">
Long-term excess variance (reproducibility) of a validation 
reference material (see pt. 8.2 in Horstwood et al., 2016).
</t>
        </r>
      </text>
    </comment>
    <comment ref="AH31" authorId="3" shapeId="0" xr:uid="{00000000-0006-0000-0000-00001F000000}">
      <text>
        <r>
          <rPr>
            <sz val="12"/>
            <color indexed="81"/>
            <rFont val="Arial"/>
            <family val="2"/>
          </rPr>
          <t xml:space="preserve">
   0: do not include
   1: include 
</t>
        </r>
      </text>
    </comment>
    <comment ref="AI31" authorId="3" shapeId="0" xr:uid="{00000000-0006-0000-0000-000020000000}">
      <text>
        <r>
          <rPr>
            <sz val="12"/>
            <color indexed="81"/>
            <rFont val="Arial"/>
            <family val="2"/>
          </rPr>
          <t xml:space="preserve">
   Add as percent 2 sigma
</t>
        </r>
      </text>
    </comment>
    <comment ref="AB33" authorId="3" shapeId="0" xr:uid="{00000000-0006-0000-0000-000021000000}">
      <text>
        <r>
          <rPr>
            <sz val="12"/>
            <color indexed="81"/>
            <rFont val="Arial"/>
            <family val="2"/>
          </rPr>
          <t xml:space="preserve">
</t>
        </r>
        <r>
          <rPr>
            <b/>
            <sz val="12"/>
            <color indexed="81"/>
            <rFont val="Arial"/>
            <family val="2"/>
          </rPr>
          <t>Excess of Variance</t>
        </r>
        <r>
          <rPr>
            <sz val="12"/>
            <color indexed="81"/>
            <rFont val="Arial"/>
            <family val="2"/>
          </rPr>
          <t xml:space="preserve">
The excess of variance is added quadratically to the respective uncertainties.
This needs to be inserted manually (within this box for the corresponding ratio) so that your reference
material's MSWD is equal to 1, because the Ref. Mat. "should" have MSWD = 1 (because it is assume it is homogeneous). 
If it is higher it means we understimated our uncertainties (see pt 7 in Horstwood et al., 2016).
The MSWD to pay attention to, will depend how your ages are calculated, individually (e.g: zircon, </t>
        </r>
        <r>
          <rPr>
            <b/>
            <sz val="12"/>
            <color indexed="81"/>
            <rFont val="Arial"/>
            <family val="2"/>
          </rPr>
          <t>MSWD "A"</t>
        </r>
        <r>
          <rPr>
            <sz val="12"/>
            <color indexed="81"/>
            <rFont val="Arial"/>
            <family val="2"/>
          </rPr>
          <t>) 
or as regressions (e.g. carbonate,</t>
        </r>
        <r>
          <rPr>
            <b/>
            <sz val="12"/>
            <color indexed="81"/>
            <rFont val="Arial"/>
            <family val="2"/>
          </rPr>
          <t xml:space="preserve"> MSWD "B"</t>
        </r>
        <r>
          <rPr>
            <sz val="12"/>
            <color indexed="81"/>
            <rFont val="Arial"/>
            <family val="2"/>
          </rPr>
          <t xml:space="preserve">). Make sure your MSWD formulas read form the correct range of cells. 
</t>
        </r>
      </text>
    </comment>
    <comment ref="AC33" authorId="3" shapeId="0" xr:uid="{00000000-0006-0000-0000-000022000000}">
      <text>
        <r>
          <rPr>
            <sz val="12"/>
            <color indexed="81"/>
            <rFont val="Arial"/>
            <family val="2"/>
          </rPr>
          <t xml:space="preserve">
Excess of variance for 206/238 ratio  
Add as percent 1 sigma
</t>
        </r>
      </text>
    </comment>
    <comment ref="AG33" authorId="3" shapeId="0" xr:uid="{00000000-0006-0000-0000-000023000000}">
      <text>
        <r>
          <rPr>
            <sz val="12"/>
            <color indexed="81"/>
            <rFont val="Arial"/>
            <family val="2"/>
          </rPr>
          <t xml:space="preserve">
Propagate decay constant uncertainties.
You can access these uncertainties from the "Const" button in "calc" sheet.
 (see pt. 8.3 in Horstwood et al., 2016).
</t>
        </r>
      </text>
    </comment>
    <comment ref="AH33" authorId="3" shapeId="0" xr:uid="{00000000-0006-0000-0000-000024000000}">
      <text>
        <r>
          <rPr>
            <sz val="12"/>
            <color indexed="81"/>
            <rFont val="Arial"/>
            <family val="2"/>
          </rPr>
          <t xml:space="preserve">
   0: do not include
   1: include 
</t>
        </r>
      </text>
    </comment>
    <comment ref="AA34" authorId="3" shapeId="0" xr:uid="{00000000-0006-0000-0000-000025000000}">
      <text>
        <r>
          <rPr>
            <sz val="12"/>
            <color indexed="81"/>
            <rFont val="Arial"/>
            <family val="2"/>
          </rPr>
          <t xml:space="preserve">
</t>
        </r>
        <r>
          <rPr>
            <b/>
            <sz val="12"/>
            <color indexed="81"/>
            <rFont val="Arial"/>
            <family val="2"/>
          </rPr>
          <t>MSWD</t>
        </r>
        <r>
          <rPr>
            <sz val="12"/>
            <color indexed="81"/>
            <rFont val="Arial"/>
            <family val="2"/>
          </rPr>
          <t xml:space="preserve"> </t>
        </r>
        <r>
          <rPr>
            <b/>
            <sz val="12"/>
            <color indexed="81"/>
            <rFont val="Arial"/>
            <family val="2"/>
          </rPr>
          <t>"A"</t>
        </r>
        <r>
          <rPr>
            <sz val="12"/>
            <color indexed="81"/>
            <rFont val="Arial"/>
            <family val="2"/>
          </rPr>
          <t xml:space="preserve"> 
(see comment for excess of variance)
This MSWD is calculated for the error-weighted mean of a set of values 
(e.g: a population of zircon ages) and assigned uncertainties. After Ludwig 2012.
</t>
        </r>
      </text>
    </comment>
    <comment ref="AC34" authorId="3" shapeId="0" xr:uid="{00000000-0006-0000-0000-000026000000}">
      <text>
        <r>
          <rPr>
            <sz val="12"/>
            <color indexed="81"/>
            <rFont val="Arial"/>
            <family val="2"/>
          </rPr>
          <t xml:space="preserve">
Excess of variance for 207/206 ratio  
Add as percent 1 sigma
</t>
        </r>
      </text>
    </comment>
    <comment ref="AG34" authorId="3" shapeId="0" xr:uid="{00000000-0006-0000-0000-000027000000}">
      <text>
        <r>
          <rPr>
            <sz val="12"/>
            <color indexed="81"/>
            <rFont val="Arial"/>
            <family val="2"/>
          </rPr>
          <t xml:space="preserve">
Propagate model common Pb ratio uncertainties.
---Not yet aplied---
 (see pt. 8.4 in Horstwood et al., 2016).
</t>
        </r>
      </text>
    </comment>
    <comment ref="AH34" authorId="3" shapeId="0" xr:uid="{00000000-0006-0000-0000-000028000000}">
      <text>
        <r>
          <rPr>
            <sz val="12"/>
            <color indexed="81"/>
            <rFont val="Arial"/>
            <family val="2"/>
          </rPr>
          <t xml:space="preserve">
---Not yet applied---
   0: do not include
   1: include 
</t>
        </r>
      </text>
    </comment>
    <comment ref="AA35" authorId="3" shapeId="0" xr:uid="{00000000-0006-0000-0000-000029000000}">
      <text>
        <r>
          <rPr>
            <sz val="12"/>
            <color indexed="81"/>
            <rFont val="Arial"/>
            <family val="2"/>
          </rPr>
          <t xml:space="preserve">
</t>
        </r>
        <r>
          <rPr>
            <b/>
            <sz val="12"/>
            <color indexed="81"/>
            <rFont val="Arial"/>
            <family val="2"/>
          </rPr>
          <t xml:space="preserve">MSWD "B" 
</t>
        </r>
        <r>
          <rPr>
            <sz val="12"/>
            <color indexed="81"/>
            <rFont val="Arial"/>
            <family val="2"/>
          </rPr>
          <t xml:space="preserve">(see comment for excess of variance)
This MSWD is calculated for a set of "x" and "y" values considering their uncertainties.
The data is fitted with a linear regression using the algorithm of York (1969), with errors propagated
using the (maximum-likelihood estimation) algorithm of Titterington and Halliday (1979). After Ludwig 2012.
</t>
        </r>
      </text>
    </comment>
    <comment ref="AC35" authorId="3" shapeId="0" xr:uid="{00000000-0006-0000-0000-00002A000000}">
      <text>
        <r>
          <rPr>
            <sz val="12"/>
            <color indexed="81"/>
            <rFont val="Arial"/>
            <family val="2"/>
          </rPr>
          <t xml:space="preserve">
Excess of variance for 208/206 ratio  
Add as percent 1 sigma
</t>
        </r>
      </text>
    </comment>
    <comment ref="X39" authorId="3" shapeId="0" xr:uid="{00000000-0006-0000-0000-00002B000000}">
      <text>
        <r>
          <rPr>
            <sz val="12"/>
            <color indexed="81"/>
            <rFont val="Arial"/>
            <family val="2"/>
          </rPr>
          <t xml:space="preserve">
</t>
        </r>
        <r>
          <rPr>
            <b/>
            <sz val="12"/>
            <color indexed="81"/>
            <rFont val="Arial"/>
            <family val="2"/>
          </rPr>
          <t xml:space="preserve">Matrix offset factor
</t>
        </r>
        <r>
          <rPr>
            <sz val="12"/>
            <color indexed="81"/>
            <rFont val="Arial"/>
            <family val="2"/>
          </rPr>
          <t xml:space="preserve">
Needed if primary and secondary reference materials do not have the same matrix,
 i.e. they have different compositions. This is a constant factor applied to the 206/238 ratios.
Modify manually so that the second reference material has the appropiate age/ratio.
</t>
        </r>
      </text>
    </comment>
    <comment ref="X40" authorId="3" shapeId="0" xr:uid="{00000000-0006-0000-0000-00002C000000}">
      <text>
        <r>
          <rPr>
            <sz val="12"/>
            <color indexed="81"/>
            <rFont val="Arial"/>
            <family val="2"/>
          </rPr>
          <t xml:space="preserve">
</t>
        </r>
        <r>
          <rPr>
            <b/>
            <sz val="12"/>
            <color indexed="81"/>
            <rFont val="Arial"/>
            <family val="2"/>
          </rPr>
          <t xml:space="preserve">Matrix offset factor
</t>
        </r>
        <r>
          <rPr>
            <sz val="12"/>
            <color indexed="81"/>
            <rFont val="Arial"/>
            <family val="2"/>
          </rPr>
          <t xml:space="preserve">
Needed if primary and secondary reference materials do not have the same matrix,
 i.e. they have different compositions. This is a constant factor applied to the 206/238 ratios.
Modify manually so that the second reference material has the appropiate age/ratio.
</t>
        </r>
      </text>
    </comment>
    <comment ref="Z56" authorId="1" shapeId="0" xr:uid="{00000000-0006-0000-0000-00002D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AA57" authorId="2" shapeId="0" xr:uid="{00000000-0006-0000-0000-00002E000000}">
      <text>
        <r>
          <rPr>
            <b/>
            <sz val="12"/>
            <color indexed="81"/>
            <rFont val="Tahoma"/>
            <family val="2"/>
          </rPr>
          <t>se%</t>
        </r>
        <r>
          <rPr>
            <sz val="12"/>
            <color indexed="81"/>
            <rFont val="Tahoma"/>
            <family val="2"/>
          </rPr>
          <t xml:space="preserve">
</t>
        </r>
      </text>
    </comment>
    <comment ref="AB57" authorId="2" shapeId="0" xr:uid="{00000000-0006-0000-0000-00002F000000}">
      <text>
        <r>
          <rPr>
            <b/>
            <sz val="12"/>
            <color indexed="81"/>
            <rFont val="Tahoma"/>
            <family val="2"/>
          </rPr>
          <t>se%</t>
        </r>
        <r>
          <rPr>
            <sz val="12"/>
            <color indexed="81"/>
            <rFont val="Tahoma"/>
            <family val="2"/>
          </rPr>
          <t xml:space="preserve">
</t>
        </r>
      </text>
    </comment>
    <comment ref="Z76" authorId="1" shapeId="0" xr:uid="{00000000-0006-0000-0000-000030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AA78" authorId="2" shapeId="0" xr:uid="{00000000-0006-0000-0000-000031000000}">
      <text>
        <r>
          <rPr>
            <b/>
            <sz val="12"/>
            <color indexed="81"/>
            <rFont val="Tahoma"/>
            <family val="2"/>
          </rPr>
          <t>se%</t>
        </r>
        <r>
          <rPr>
            <sz val="12"/>
            <color indexed="81"/>
            <rFont val="Tahoma"/>
            <family val="2"/>
          </rPr>
          <t xml:space="preserve">
</t>
        </r>
      </text>
    </comment>
    <comment ref="AB78" authorId="2" shapeId="0" xr:uid="{00000000-0006-0000-0000-000032000000}">
      <text>
        <r>
          <rPr>
            <b/>
            <sz val="12"/>
            <color indexed="81"/>
            <rFont val="Tahoma"/>
            <family val="2"/>
          </rPr>
          <t>se%</t>
        </r>
        <r>
          <rPr>
            <sz val="12"/>
            <color indexed="81"/>
            <rFont val="Tahoma"/>
            <family val="2"/>
          </rPr>
          <t xml:space="preserve">
</t>
        </r>
      </text>
    </comment>
    <comment ref="Z96" authorId="1" shapeId="0" xr:uid="{00000000-0006-0000-0000-000033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AA98" authorId="2" shapeId="0" xr:uid="{00000000-0006-0000-0000-000034000000}">
      <text>
        <r>
          <rPr>
            <b/>
            <sz val="12"/>
            <color indexed="81"/>
            <rFont val="Tahoma"/>
            <family val="2"/>
          </rPr>
          <t>se%</t>
        </r>
        <r>
          <rPr>
            <sz val="12"/>
            <color indexed="81"/>
            <rFont val="Tahoma"/>
            <family val="2"/>
          </rPr>
          <t xml:space="preserve">
</t>
        </r>
      </text>
    </comment>
    <comment ref="AB98" authorId="2" shapeId="0" xr:uid="{00000000-0006-0000-0000-000035000000}">
      <text>
        <r>
          <rPr>
            <b/>
            <sz val="12"/>
            <color indexed="81"/>
            <rFont val="Tahoma"/>
            <family val="2"/>
          </rPr>
          <t>se%</t>
        </r>
        <r>
          <rPr>
            <sz val="12"/>
            <color indexed="81"/>
            <rFont val="Tahoma"/>
            <family val="2"/>
          </rPr>
          <t xml:space="preserve">
</t>
        </r>
      </text>
    </comment>
    <comment ref="Z106" authorId="1" shapeId="0" xr:uid="{00000000-0006-0000-0000-000036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Z116" authorId="1" shapeId="0" xr:uid="{00000000-0006-0000-0000-000037000000}">
      <text>
        <r>
          <rPr>
            <sz val="12"/>
            <color indexed="81"/>
            <rFont val="Arial"/>
            <family val="2"/>
          </rPr>
          <t xml:space="preserve">
"Excess scatter (ε</t>
        </r>
        <r>
          <rPr>
            <vertAlign val="superscript"/>
            <sz val="12"/>
            <color indexed="81"/>
            <rFont val="Arial"/>
            <family val="2"/>
          </rPr>
          <t>2</t>
        </r>
        <r>
          <rPr>
            <sz val="12"/>
            <color indexed="81"/>
            <rFont val="Arial"/>
            <family val="2"/>
          </rPr>
          <t xml:space="preserve">, pt. 5 in Horstwood et al., 2016)"
Required external 1 sigma uncertainty, percent, so MSWD = 1.
</t>
        </r>
      </text>
    </comment>
    <comment ref="X122" authorId="3" shapeId="0" xr:uid="{00000000-0006-0000-0000-000038000000}">
      <text>
        <r>
          <rPr>
            <sz val="12"/>
            <color indexed="81"/>
            <rFont val="Arial"/>
            <family val="2"/>
          </rPr>
          <t xml:space="preserve">
</t>
        </r>
        <r>
          <rPr>
            <b/>
            <sz val="12"/>
            <color indexed="81"/>
            <rFont val="Arial"/>
            <family val="2"/>
          </rPr>
          <t xml:space="preserve">Matrix offset factor
</t>
        </r>
        <r>
          <rPr>
            <sz val="12"/>
            <color indexed="81"/>
            <rFont val="Arial"/>
            <family val="2"/>
          </rPr>
          <t xml:space="preserve">
Needed if primary and secondary reference materials do not have the same matrix,
 i.e. they have different compositions. This is a constant factor applied to the 206/238 ratios.
Modify manually so that the second reference material has the appropiate age/ratio.
</t>
        </r>
      </text>
    </comment>
    <comment ref="BQ309" authorId="2" shapeId="0" xr:uid="{00000000-0006-0000-0000-000039000000}">
      <text>
        <r>
          <rPr>
            <b/>
            <sz val="12"/>
            <color indexed="81"/>
            <rFont val="Tahoma"/>
            <family val="2"/>
          </rPr>
          <t>se%</t>
        </r>
        <r>
          <rPr>
            <sz val="12"/>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 Pyrit</author>
    <author>Axel Gerdes</author>
    <author>Richard Albert</author>
  </authors>
  <commentList>
    <comment ref="F1" authorId="0" shapeId="0" xr:uid="{00000000-0006-0000-0100-000001000000}">
      <text>
        <r>
          <rPr>
            <b/>
            <sz val="12"/>
            <color indexed="81"/>
            <rFont val="Tahoma"/>
            <family val="2"/>
          </rPr>
          <t xml:space="preserve">
"Bulge" 11</t>
        </r>
        <r>
          <rPr>
            <sz val="12"/>
            <color indexed="81"/>
            <rFont val="Tahoma"/>
            <family val="2"/>
          </rPr>
          <t xml:space="preserve">
</t>
        </r>
      </text>
    </comment>
    <comment ref="G1" authorId="0" shapeId="0" xr:uid="{00000000-0006-0000-0100-000002000000}">
      <text>
        <r>
          <rPr>
            <b/>
            <sz val="12"/>
            <color indexed="81"/>
            <rFont val="Tahoma"/>
            <family val="2"/>
          </rPr>
          <t>Background corrected</t>
        </r>
      </text>
    </comment>
    <comment ref="AG1" authorId="0" shapeId="0" xr:uid="{00000000-0006-0000-0100-000003000000}">
      <text>
        <r>
          <rPr>
            <b/>
            <sz val="12"/>
            <color indexed="81"/>
            <rFont val="Tahoma"/>
            <family val="2"/>
          </rPr>
          <t xml:space="preserve">
"Bulge" correction</t>
        </r>
        <r>
          <rPr>
            <sz val="12"/>
            <color indexed="81"/>
            <rFont val="Tahoma"/>
            <family val="2"/>
          </rPr>
          <t xml:space="preserve">
</t>
        </r>
      </text>
    </comment>
    <comment ref="AH1" authorId="0" shapeId="0" xr:uid="{00000000-0006-0000-0100-000004000000}">
      <text>
        <r>
          <rPr>
            <b/>
            <sz val="12"/>
            <color indexed="81"/>
            <rFont val="Tahoma"/>
            <family val="2"/>
          </rPr>
          <t>Background corrected</t>
        </r>
      </text>
    </comment>
    <comment ref="O5" authorId="1" shapeId="0" xr:uid="{00000000-0006-0000-0100-000005000000}">
      <text>
        <r>
          <rPr>
            <sz val="12"/>
            <color indexed="81"/>
            <rFont val="Arial"/>
            <family val="2"/>
          </rPr>
          <t xml:space="preserve">
        Possible dead time off-set
</t>
        </r>
      </text>
    </comment>
    <comment ref="Q18" authorId="1" shapeId="0" xr:uid="{00000000-0006-0000-0100-000006000000}">
      <text>
        <r>
          <rPr>
            <sz val="12"/>
            <color indexed="81"/>
            <rFont val="Arial"/>
            <family val="2"/>
          </rPr>
          <t xml:space="preserve">
</t>
        </r>
        <r>
          <rPr>
            <b/>
            <sz val="12"/>
            <color indexed="81"/>
            <rFont val="Arial"/>
            <family val="2"/>
          </rPr>
          <t>11B/10B Frac Factor</t>
        </r>
        <r>
          <rPr>
            <sz val="12"/>
            <color indexed="81"/>
            <rFont val="Arial"/>
            <family val="2"/>
          </rPr>
          <t xml:space="preserve"> 
Used to correct for fraction = offset 
between true and measured ratio on primary
 reference material.
</t>
        </r>
      </text>
    </comment>
    <comment ref="Q19" authorId="1" shapeId="0" xr:uid="{00000000-0006-0000-0100-000007000000}">
      <text>
        <r>
          <rPr>
            <sz val="12"/>
            <color indexed="81"/>
            <rFont val="Arial"/>
            <family val="2"/>
          </rPr>
          <t xml:space="preserve">
Sample position in the sequence
</t>
        </r>
      </text>
    </comment>
    <comment ref="Q103" authorId="2" shapeId="0" xr:uid="{00000000-0006-0000-0100-000008000000}">
      <text>
        <r>
          <rPr>
            <sz val="12"/>
            <color indexed="81"/>
            <rFont val="Arial"/>
            <family val="2"/>
          </rPr>
          <t xml:space="preserve">
AGeRAp uses the "mean of ratios" approach (see Fischer </t>
        </r>
        <r>
          <rPr>
            <i/>
            <sz val="12"/>
            <color indexed="81"/>
            <rFont val="Arial"/>
            <family val="2"/>
          </rPr>
          <t>et al</t>
        </r>
        <r>
          <rPr>
            <sz val="12"/>
            <color indexed="81"/>
            <rFont val="Arial"/>
            <family val="2"/>
          </rPr>
          <t xml:space="preserve">., 2010).
However it seems this aproach is inappropiate because the means are not self-consistent (see McLean </t>
        </r>
        <r>
          <rPr>
            <i/>
            <sz val="12"/>
            <color indexed="81"/>
            <rFont val="Arial"/>
            <family val="2"/>
          </rPr>
          <t>et al</t>
        </r>
        <r>
          <rPr>
            <sz val="12"/>
            <color indexed="81"/>
            <rFont val="Arial"/>
            <family val="2"/>
          </rPr>
          <t xml:space="preserve">., 2016).
Therefore there is the possibility of ussing the additive log-ratio transformation </t>
        </r>
        <r>
          <rPr>
            <i/>
            <sz val="12"/>
            <color indexed="81"/>
            <rFont val="Arial"/>
            <family val="2"/>
          </rPr>
          <t>(alr)</t>
        </r>
        <r>
          <rPr>
            <sz val="12"/>
            <color indexed="81"/>
            <rFont val="Arial"/>
            <family val="2"/>
          </rPr>
          <t xml:space="preserve"> as defined by Aitchison (1986). 
Ratios are tranformed to logaritms, mean is calcutated and returned as anti-logaritm. This way these means are 
self-consistent (if numbers are negative it is a problem, as log of a neg number is undefined... functions will skip neg numbers)
The diference is minor (always lower with the </t>
        </r>
        <r>
          <rPr>
            <i/>
            <sz val="12"/>
            <color indexed="81"/>
            <rFont val="Arial"/>
            <family val="2"/>
          </rPr>
          <t>alr</t>
        </r>
        <r>
          <rPr>
            <sz val="12"/>
            <color indexed="81"/>
            <rFont val="Arial"/>
            <family val="2"/>
          </rPr>
          <t xml:space="preserve">), but increasses with very high or low ratios and with ratio scatter.
</t>
        </r>
      </text>
    </comment>
    <comment ref="H107" authorId="2" shapeId="0" xr:uid="{00000000-0006-0000-0100-000009000000}">
      <text>
        <r>
          <rPr>
            <sz val="12"/>
            <color indexed="81"/>
            <rFont val="Arial"/>
            <family val="2"/>
          </rPr>
          <t xml:space="preserve">
    Column from which each mass is read from (in input sheet)
</t>
        </r>
      </text>
    </comment>
    <comment ref="N108" authorId="2" shapeId="0" xr:uid="{00000000-0006-0000-0100-00000A000000}">
      <text>
        <r>
          <rPr>
            <sz val="12"/>
            <color indexed="81"/>
            <rFont val="Arial"/>
            <family val="2"/>
          </rPr>
          <t xml:space="preserve">
        Above this, background is considered outlier
</t>
        </r>
      </text>
    </comment>
    <comment ref="O108" authorId="2" shapeId="0" xr:uid="{00000000-0006-0000-0100-00000B000000}">
      <text>
        <r>
          <rPr>
            <sz val="12"/>
            <color indexed="81"/>
            <rFont val="Arial"/>
            <family val="2"/>
          </rPr>
          <t xml:space="preserve">
        Above this, background is considered outlier
</t>
        </r>
      </text>
    </comment>
    <comment ref="P108" authorId="2" shapeId="0" xr:uid="{00000000-0006-0000-0100-00000C000000}">
      <text>
        <r>
          <rPr>
            <sz val="12"/>
            <color indexed="81"/>
            <rFont val="Arial"/>
            <family val="2"/>
          </rPr>
          <t xml:space="preserve">
        Above this, background is considered outlier
</t>
        </r>
      </text>
    </comment>
    <comment ref="Q108" authorId="2" shapeId="0" xr:uid="{00000000-0006-0000-0100-00000D000000}">
      <text>
        <r>
          <rPr>
            <sz val="12"/>
            <color indexed="81"/>
            <rFont val="Arial"/>
            <family val="2"/>
          </rPr>
          <t xml:space="preserve">
        Above this, background is considered outlier
</t>
        </r>
      </text>
    </comment>
    <comment ref="R108" authorId="2" shapeId="0" xr:uid="{00000000-0006-0000-0100-00000E000000}">
      <text>
        <r>
          <rPr>
            <sz val="12"/>
            <color indexed="81"/>
            <rFont val="Arial"/>
            <family val="2"/>
          </rPr>
          <t xml:space="preserve">
        Above this, background is considered outlier
</t>
        </r>
      </text>
    </comment>
    <comment ref="H109" authorId="2" shapeId="0" xr:uid="{00000000-0006-0000-0100-00000F000000}">
      <text>
        <r>
          <rPr>
            <sz val="12"/>
            <color indexed="81"/>
            <rFont val="Arial"/>
            <family val="2"/>
          </rPr>
          <t xml:space="preserve">
    Column from which each mass is read from (in input sheet)
</t>
        </r>
      </text>
    </comment>
    <comment ref="N109" authorId="2" shapeId="0" xr:uid="{00000000-0006-0000-0100-000010000000}">
      <text>
        <r>
          <rPr>
            <sz val="12"/>
            <color indexed="81"/>
            <rFont val="Arial"/>
            <family val="2"/>
          </rPr>
          <t xml:space="preserve">
        Above this, background is considered outlier
</t>
        </r>
      </text>
    </comment>
    <comment ref="O109" authorId="2" shapeId="0" xr:uid="{00000000-0006-0000-0100-000011000000}">
      <text>
        <r>
          <rPr>
            <sz val="12"/>
            <color indexed="81"/>
            <rFont val="Arial"/>
            <family val="2"/>
          </rPr>
          <t xml:space="preserve">
        Above this, background is considered outlier
</t>
        </r>
      </text>
    </comment>
    <comment ref="P109" authorId="2" shapeId="0" xr:uid="{00000000-0006-0000-0100-000012000000}">
      <text>
        <r>
          <rPr>
            <sz val="12"/>
            <color indexed="81"/>
            <rFont val="Arial"/>
            <family val="2"/>
          </rPr>
          <t xml:space="preserve">
        Above this, background is considered outlier
</t>
        </r>
      </text>
    </comment>
    <comment ref="Q109" authorId="2" shapeId="0" xr:uid="{00000000-0006-0000-0100-000013000000}">
      <text>
        <r>
          <rPr>
            <sz val="12"/>
            <color indexed="81"/>
            <rFont val="Arial"/>
            <family val="2"/>
          </rPr>
          <t xml:space="preserve">
        Above this, background is considered outlier
</t>
        </r>
      </text>
    </comment>
    <comment ref="R109" authorId="2" shapeId="0" xr:uid="{00000000-0006-0000-0100-000014000000}">
      <text>
        <r>
          <rPr>
            <sz val="12"/>
            <color indexed="81"/>
            <rFont val="Arial"/>
            <family val="2"/>
          </rPr>
          <t xml:space="preserve">
        Above this, background is considered outlier
</t>
        </r>
      </text>
    </comment>
    <comment ref="L111" authorId="2" shapeId="0" xr:uid="{00000000-0006-0000-0100-000015000000}">
      <text>
        <r>
          <rPr>
            <sz val="12"/>
            <color indexed="81"/>
            <rFont val="Arial"/>
            <family val="2"/>
          </rPr>
          <t xml:space="preserve">
        Above this, background is considered outlier
</t>
        </r>
      </text>
    </comment>
    <comment ref="M111" authorId="2" shapeId="0" xr:uid="{00000000-0006-0000-0100-000016000000}">
      <text>
        <r>
          <rPr>
            <sz val="12"/>
            <color indexed="81"/>
            <rFont val="Arial"/>
            <family val="2"/>
          </rPr>
          <t xml:space="preserve">
        Above this, background is considered outlier
</t>
        </r>
      </text>
    </comment>
    <comment ref="N111" authorId="2" shapeId="0" xr:uid="{00000000-0006-0000-0100-000017000000}">
      <text>
        <r>
          <rPr>
            <sz val="12"/>
            <color indexed="81"/>
            <rFont val="Arial"/>
            <family val="2"/>
          </rPr>
          <t xml:space="preserve">
        Above this, background is considered outlier
</t>
        </r>
      </text>
    </comment>
    <comment ref="O111" authorId="2" shapeId="0" xr:uid="{00000000-0006-0000-0100-000018000000}">
      <text>
        <r>
          <rPr>
            <sz val="12"/>
            <color indexed="81"/>
            <rFont val="Arial"/>
            <family val="2"/>
          </rPr>
          <t xml:space="preserve">
        Above this, background is considered outlier
</t>
        </r>
      </text>
    </comment>
    <comment ref="P111" authorId="2" shapeId="0" xr:uid="{00000000-0006-0000-0100-000019000000}">
      <text>
        <r>
          <rPr>
            <sz val="12"/>
            <color indexed="81"/>
            <rFont val="Arial"/>
            <family val="2"/>
          </rPr>
          <t xml:space="preserve">
        Above this, background is considered outlier
</t>
        </r>
      </text>
    </comment>
    <comment ref="A112" authorId="2" shapeId="0" xr:uid="{00000000-0006-0000-0100-00001A000000}">
      <text>
        <r>
          <rPr>
            <sz val="12"/>
            <color indexed="81"/>
            <rFont val="Arial"/>
            <family val="2"/>
          </rPr>
          <t xml:space="preserve">
        First row with raw data (in input sheet)
</t>
        </r>
      </text>
    </comment>
    <comment ref="H112" authorId="2" shapeId="0" xr:uid="{00000000-0006-0000-0100-00001B000000}">
      <text>
        <r>
          <rPr>
            <sz val="12"/>
            <color indexed="81"/>
            <rFont val="Arial"/>
            <family val="2"/>
          </rPr>
          <t xml:space="preserve">
    Column from which each mass is read from (in input sheet)
</t>
        </r>
      </text>
    </comment>
    <comment ref="A113" authorId="2" shapeId="0" xr:uid="{00000000-0006-0000-0100-00001C000000}">
      <text>
        <r>
          <rPr>
            <sz val="12"/>
            <color indexed="81"/>
            <rFont val="Arial"/>
            <family val="2"/>
          </rPr>
          <t xml:space="preserve">
        Integration value, number of times raw data is integrated
</t>
        </r>
      </text>
    </comment>
    <comment ref="U118" authorId="2" shapeId="0" xr:uid="{00000000-0006-0000-0100-00001D000000}">
      <text>
        <r>
          <rPr>
            <sz val="12"/>
            <color indexed="81"/>
            <rFont val="Arial"/>
            <family val="2"/>
          </rPr>
          <t xml:space="preserve">
Lower limit (11B) to consider signal as analysis
If signal is above this limit, the scan will be considered analysis
(only one mass needs to fulfil the condition)
</t>
        </r>
      </text>
    </comment>
    <comment ref="V118" authorId="2" shapeId="0" xr:uid="{00000000-0006-0000-0100-00001E000000}">
      <text>
        <r>
          <rPr>
            <sz val="12"/>
            <color indexed="81"/>
            <rFont val="Arial"/>
            <family val="2"/>
          </rPr>
          <t xml:space="preserve">
Lower limit (11B) to consider signal as analysis
If signal is above this limit, the scan will be considered analysis
(only one mass needs to fulfil the condition)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PC Pyrit</author>
  </authors>
  <commentList>
    <comment ref="H11" authorId="0" shapeId="0" xr:uid="{00000000-0006-0000-0600-000001000000}">
      <text>
        <r>
          <rPr>
            <b/>
            <sz val="9"/>
            <color indexed="81"/>
            <rFont val="Tahoma"/>
            <family val="2"/>
          </rPr>
          <t xml:space="preserve">
If start from scratch</t>
        </r>
      </text>
    </comment>
  </commentList>
</comments>
</file>

<file path=xl/sharedStrings.xml><?xml version="1.0" encoding="utf-8"?>
<sst xmlns="http://schemas.openxmlformats.org/spreadsheetml/2006/main" count="2008" uniqueCount="1139">
  <si>
    <t>sample</t>
  </si>
  <si>
    <t>order</t>
  </si>
  <si>
    <t>Factor</t>
  </si>
  <si>
    <t>±2s%</t>
  </si>
  <si>
    <t>Proc?</t>
  </si>
  <si>
    <t>Th/U</t>
  </si>
  <si>
    <t>Norm</t>
  </si>
  <si>
    <t>290</t>
  </si>
  <si>
    <t>0.0248</t>
  </si>
  <si>
    <t/>
  </si>
  <si>
    <t>550</t>
  </si>
  <si>
    <t>563</t>
  </si>
  <si>
    <t>339</t>
  </si>
  <si>
    <t>337.1</t>
  </si>
  <si>
    <t>1065.4</t>
  </si>
  <si>
    <t>1062.4</t>
  </si>
  <si>
    <t>seq1</t>
  </si>
  <si>
    <t>U</t>
  </si>
  <si>
    <t>[sec]</t>
  </si>
  <si>
    <t>uncorrected</t>
  </si>
  <si>
    <t>cycle</t>
  </si>
  <si>
    <t>time</t>
  </si>
  <si>
    <t>grain</t>
  </si>
  <si>
    <t>name /</t>
  </si>
  <si>
    <r>
      <t>U</t>
    </r>
    <r>
      <rPr>
        <vertAlign val="superscript"/>
        <sz val="10"/>
        <rFont val="Arial"/>
        <family val="2"/>
      </rPr>
      <t>b</t>
    </r>
  </si>
  <si>
    <r>
      <t>Pb</t>
    </r>
    <r>
      <rPr>
        <vertAlign val="superscript"/>
        <sz val="10"/>
        <rFont val="Arial"/>
        <family val="2"/>
      </rPr>
      <t>b</t>
    </r>
  </si>
  <si>
    <r>
      <t>Th</t>
    </r>
    <r>
      <rPr>
        <u/>
        <vertAlign val="superscript"/>
        <sz val="10"/>
        <rFont val="Arial"/>
        <family val="2"/>
      </rPr>
      <t>b</t>
    </r>
  </si>
  <si>
    <r>
      <t>206</t>
    </r>
    <r>
      <rPr>
        <u/>
        <sz val="10"/>
        <rFont val="Arial"/>
        <family val="2"/>
      </rPr>
      <t>Pb</t>
    </r>
    <r>
      <rPr>
        <u/>
        <vertAlign val="superscript"/>
        <sz val="10"/>
        <rFont val="Arial"/>
        <family val="2"/>
      </rPr>
      <t>d</t>
    </r>
  </si>
  <si>
    <r>
      <t>±2</t>
    </r>
    <r>
      <rPr>
        <sz val="10"/>
        <rFont val="Symbol"/>
        <family val="1"/>
        <charset val="2"/>
      </rPr>
      <t>s</t>
    </r>
  </si>
  <si>
    <r>
      <t>207</t>
    </r>
    <r>
      <rPr>
        <u/>
        <sz val="10"/>
        <rFont val="Arial"/>
        <family val="2"/>
      </rPr>
      <t>Pb</t>
    </r>
    <r>
      <rPr>
        <u/>
        <vertAlign val="superscript"/>
        <sz val="10"/>
        <rFont val="Arial"/>
        <family val="2"/>
      </rPr>
      <t>d</t>
    </r>
  </si>
  <si>
    <r>
      <t>rho</t>
    </r>
    <r>
      <rPr>
        <vertAlign val="superscript"/>
        <sz val="10"/>
        <rFont val="Arial"/>
        <family val="2"/>
      </rPr>
      <t>e</t>
    </r>
  </si>
  <si>
    <r>
      <t>206</t>
    </r>
    <r>
      <rPr>
        <u/>
        <sz val="10"/>
        <rFont val="Arial"/>
        <family val="2"/>
      </rPr>
      <t>Pb</t>
    </r>
  </si>
  <si>
    <r>
      <t>207</t>
    </r>
    <r>
      <rPr>
        <u/>
        <sz val="10"/>
        <rFont val="Arial"/>
        <family val="2"/>
      </rPr>
      <t>Pb</t>
    </r>
  </si>
  <si>
    <t>(cps)</t>
  </si>
  <si>
    <t>(ppm)</t>
  </si>
  <si>
    <t>(%)</t>
  </si>
  <si>
    <t>(Ma)</t>
  </si>
  <si>
    <t>Sample</t>
  </si>
  <si>
    <t>Backround</t>
  </si>
  <si>
    <t>Signal intensity cps</t>
  </si>
  <si>
    <t>Ratios</t>
  </si>
  <si>
    <r>
      <t>207</t>
    </r>
    <r>
      <rPr>
        <sz val="10"/>
        <rFont val="Arial"/>
        <family val="2"/>
      </rPr>
      <t>Pb</t>
    </r>
    <r>
      <rPr>
        <vertAlign val="superscript"/>
        <sz val="10"/>
        <rFont val="Arial"/>
        <family val="2"/>
      </rPr>
      <t>a</t>
    </r>
  </si>
  <si>
    <r>
      <t>206</t>
    </r>
    <r>
      <rPr>
        <sz val="10"/>
        <rFont val="Arial"/>
        <family val="2"/>
      </rPr>
      <t>Pbc</t>
    </r>
    <r>
      <rPr>
        <vertAlign val="superscript"/>
        <sz val="10"/>
        <rFont val="Arial"/>
        <family val="2"/>
      </rPr>
      <t>c</t>
    </r>
  </si>
  <si>
    <r>
      <rPr>
        <sz val="10"/>
        <rFont val="Arial"/>
        <family val="2"/>
      </rPr>
      <t>±2</t>
    </r>
    <r>
      <rPr>
        <sz val="10"/>
        <rFont val="Symbol"/>
        <family val="1"/>
        <charset val="2"/>
      </rPr>
      <t>s</t>
    </r>
  </si>
  <si>
    <r>
      <rPr>
        <sz val="10"/>
        <rFont val="Arial"/>
        <family val="2"/>
      </rPr>
      <t>conc</t>
    </r>
    <r>
      <rPr>
        <vertAlign val="superscript"/>
        <sz val="10"/>
        <rFont val="Arial"/>
        <family val="2"/>
      </rPr>
      <t>f</t>
    </r>
  </si>
  <si>
    <r>
      <t>238</t>
    </r>
    <r>
      <rPr>
        <sz val="10"/>
        <rFont val="Arial"/>
        <family val="2"/>
      </rPr>
      <t>U</t>
    </r>
  </si>
  <si>
    <r>
      <t>235</t>
    </r>
    <r>
      <rPr>
        <sz val="10"/>
        <rFont val="Arial"/>
        <family val="2"/>
      </rPr>
      <t>U</t>
    </r>
  </si>
  <si>
    <r>
      <t>206</t>
    </r>
    <r>
      <rPr>
        <sz val="10"/>
        <rFont val="Arial"/>
        <family val="2"/>
      </rPr>
      <t>Pb</t>
    </r>
  </si>
  <si>
    <t>This Sheet is designed to contain values that makros and userforms need to operate, Do not change or delete anything in this sheet! Danke,</t>
  </si>
  <si>
    <t>Name</t>
  </si>
  <si>
    <t>AutoProc?</t>
  </si>
  <si>
    <t>Prepare?</t>
  </si>
  <si>
    <t>Constants:</t>
  </si>
  <si>
    <t>Prim std:</t>
  </si>
  <si>
    <t>Sec std 1:</t>
  </si>
  <si>
    <t>cPb Age</t>
  </si>
  <si>
    <t>Sec std 2:</t>
  </si>
  <si>
    <t>Sec std 3:</t>
  </si>
  <si>
    <t>Sec std 4:</t>
  </si>
  <si>
    <t>Sec std 5:</t>
  </si>
  <si>
    <t>Unkns:</t>
  </si>
  <si>
    <t>From:</t>
  </si>
  <si>
    <t>To:</t>
  </si>
  <si>
    <t>Standards</t>
  </si>
  <si>
    <t>Description</t>
  </si>
  <si>
    <t>7/6 ratio</t>
  </si>
  <si>
    <t>6/38 ratio</t>
  </si>
  <si>
    <t>7/6 age</t>
  </si>
  <si>
    <t>6/38 age</t>
  </si>
  <si>
    <t>Uppm</t>
  </si>
  <si>
    <t>Pbrad ppm</t>
  </si>
  <si>
    <t>Paper1</t>
  </si>
  <si>
    <t>Paper2</t>
  </si>
  <si>
    <t>Paper3</t>
  </si>
  <si>
    <t>Cal- ASH15D</t>
  </si>
  <si>
    <t xml:space="preserve">Carbonate, speleothem_x000D_
3.001 ± 0.012 (2σ) Ma (IDTIMS)_x000D_
Mason et al., 2013; Vaks et al., 2013_x000D_
_x000D_
7/6 age =_x000D_
6/8 age = 3.001 Ma_x000D_
Th/U = _x000D_
U ppm = _x000D_
Pb ppm = _x000D_
</t>
  </si>
  <si>
    <t>3.001</t>
  </si>
  <si>
    <t xml:space="preserve">Name: Link: </t>
  </si>
  <si>
    <t>Cal- CalGr</t>
  </si>
  <si>
    <t>Inhouse calcite standard_x000D_
Green calcite_x000D_
c. 20 Ma</t>
  </si>
  <si>
    <t>Cal- CCS-2</t>
  </si>
  <si>
    <t>0.915</t>
  </si>
  <si>
    <t>5111.8</t>
  </si>
  <si>
    <t>775.87</t>
  </si>
  <si>
    <t>1099.99</t>
  </si>
  <si>
    <t>503.41</t>
  </si>
  <si>
    <t>Cal- Nama</t>
  </si>
  <si>
    <t>Namibian carbonate_x000D_
_x000D_
540 - 543 Ma_x000D_
_x000D_
Anchore it to 0.85 7/6 ratio (must be refined, 4900Ma)</t>
  </si>
  <si>
    <t>540</t>
  </si>
  <si>
    <t>Cal- WC1</t>
  </si>
  <si>
    <t>Dol- ZD</t>
  </si>
  <si>
    <t>Gls- NIST610</t>
  </si>
  <si>
    <t>Name: Jochum et al., 2011 Link: https://onlinelibrary.wiley.com/doi/abs/10.1111/j.1751-908X.2011.00120.x</t>
  </si>
  <si>
    <t>Gls- NIST612</t>
  </si>
  <si>
    <t>0.9073</t>
  </si>
  <si>
    <t>5099.9</t>
  </si>
  <si>
    <t>1627</t>
  </si>
  <si>
    <t>Gls- NIST614</t>
  </si>
  <si>
    <t>0.871</t>
  </si>
  <si>
    <t>0.8078</t>
  </si>
  <si>
    <t>5042</t>
  </si>
  <si>
    <t>3817</t>
  </si>
  <si>
    <t>Grt- Mali</t>
  </si>
  <si>
    <t>202</t>
  </si>
  <si>
    <t>0.75</t>
  </si>
  <si>
    <t>2</t>
  </si>
  <si>
    <t>0.65</t>
  </si>
  <si>
    <t>Name: Seman et al., 2017 Link: https://www.sciencedirect.com/science/article/pii/S0009254117302541?via%3Dihub</t>
  </si>
  <si>
    <t>Grt- Mali GUF</t>
  </si>
  <si>
    <t>Grt, Grandite (grosular-andradite, Yellow: Grs75 And25, Red: Grs37 And52) Seman et al., 2017_x000D_
Sourced from alluvial deposits in southern Mali discovered in 1994 (Johnson et al., 1995). One likely source is skarn produced by dikes which intrude carbonates throughout much of the region (Permian to Jurassic intrusions)._x000D_
_x000D_
6/38: 202.0 ± 1.2 Ma (Red/Yellow, 204cPb corr, IDTIMS)_x000D_
0.86 (4990Ma) 7/6 cPb_x000D_
U  ppm: 2.0 ± 0.5 (2SD, Yellow), 7.0 ± 6.8 (Red)_x000D_
Th ppm: 2.0 ± 1.6 (2SD, Yellow), 3.3 ± 6.8 (Red)_x000D_
Pb ppm: 0.65 (Yellow), 0.17-0.43 (Red)_x000D_
Th/U: 0.75 (yellow), 0.14-0.17 (Red)</t>
  </si>
  <si>
    <t>Grt- Plesovice</t>
  </si>
  <si>
    <t xml:space="preserve">Almandine–pyrope-rich garnet from a HP-HT potassic granulite (Bohemian Massif)_x000D_
_x000D_
See Plesovice (Zrn) _x000D_
_x000D_
7/6 age =_x000D_
6/8 age = 337 (Zrn age)_x000D_
Th/U = _x000D_
U ppm = _x000D_
Pb ppm =_x000D_
</t>
  </si>
  <si>
    <t>337</t>
  </si>
  <si>
    <t>Grt- SD</t>
  </si>
  <si>
    <t>Grt</t>
  </si>
  <si>
    <t>Grt- Wilsboro</t>
  </si>
  <si>
    <t>c. 1020 Ma</t>
  </si>
  <si>
    <t>1020</t>
  </si>
  <si>
    <t>Mz- Bananero</t>
  </si>
  <si>
    <t>_x000D_
c. 507-509 Ma</t>
  </si>
  <si>
    <t>509</t>
  </si>
  <si>
    <t>Mz- Manangotry</t>
  </si>
  <si>
    <t xml:space="preserve">Monazite, 555 Ma_x000D_
Horstwood et al., 2003. Common-Pb corrected in situ U–Pb accessory mineral geochronology by LA-MC-ICP-MS_x000D_
_x000D_
(Also check Montel et al., 2017; Paquette and Tiepolo, 2007)_x000D_
_x000D_
TIMS:_x000D_
7/6 age = 555 +- 1_x000D_
6/8 age = 552.9_x000D_
U ppm = 894_x000D_
_x000D_
LA-ICP-MS:_x000D_
7/6 age = _x000D_
6/8 age = 558 +- 3_x000D_
U ppm = _x000D_
</t>
  </si>
  <si>
    <t>0.058647</t>
  </si>
  <si>
    <t>0.089546</t>
  </si>
  <si>
    <t>555.0</t>
  </si>
  <si>
    <t>552.9</t>
  </si>
  <si>
    <t>894</t>
  </si>
  <si>
    <t>Mz- Moacyr</t>
  </si>
  <si>
    <t xml:space="preserve">Monazite_x000D_
510 Ma_x000D_
_x000D_
7/6 age =_x000D_
6/8 age = _x000D_
Th/U = _x000D_
U ppm = _x000D_
Pb ppm = _x000D_
</t>
  </si>
  <si>
    <t>510</t>
  </si>
  <si>
    <t>Mz- Nama</t>
  </si>
  <si>
    <t xml:space="preserve">Monazite_x000D_
_x000D_
7/6 age =_x000D_
6/8 age = 1027_x000D_
Th/U = _x000D_
U ppm = _x000D_
Pb ppm = _x000D_
</t>
  </si>
  <si>
    <t>1027</t>
  </si>
  <si>
    <t>Mz- WD</t>
  </si>
  <si>
    <t xml:space="preserve">Monazite_x000D_
Namibia_x000D_
_x000D_
7/6 age =_x000D_
6/8 age = 1027 _x000D_
Th/U = _x000D_
U ppm = _x000D_
Pb ppm = _x000D_
</t>
  </si>
  <si>
    <t>Rt- SRQ</t>
  </si>
  <si>
    <t>Rutile_x000D_
c. 2020 Ma</t>
  </si>
  <si>
    <t>2020</t>
  </si>
  <si>
    <t>Rt- Tabor</t>
  </si>
  <si>
    <t>Rutile_x000D_
336 Ma</t>
  </si>
  <si>
    <t>336</t>
  </si>
  <si>
    <t>Ttn- Bear Lake</t>
  </si>
  <si>
    <t xml:space="preserve">Bear Lake Ridge (BLR-1)_x000D_
Aleinikoff et al., 2007_x000D_
Mazdab, 2009_x000D_
_x000D_
Likely  grew  in  a  crustally derived carbonate magma _x000D_
_x000D_
No info about initial common Pb composition _x000D_
_x000D_
7/6 age = 1049.9 ± 1.3 Ma_x000D_
6/8 age = 1047.1 ± 0.4 Ma _x000D_
Th/U = 0.5-0.7_x000D_
U ppm = 200-300 _x000D_
Pb ppm = 42-61_x000D_
</t>
  </si>
  <si>
    <t>1047</t>
  </si>
  <si>
    <t>Ttn- Nama</t>
  </si>
  <si>
    <t>_x000D_
Around 1000 Ma</t>
  </si>
  <si>
    <t>1000</t>
  </si>
  <si>
    <t>Zrn- 91500</t>
  </si>
  <si>
    <t xml:space="preserve">Natural Zircon, megacrysts, syenitic pegmatite_x000D_
www.iageo.com_x000D_
Wiendenbeck et al., 1995_x000D_
_x000D_
7/6 age = 1065.4 Ma_x000D_
6/8 age = 1062.4 Ma_x000D_
Th/U = _x000D_
U ppm = 71 - 86 (mean: 81.2)_x000D_
Pb ppm = 13 - 16  (mean: 14.8)_x000D_
</t>
  </si>
  <si>
    <t>0.07488</t>
  </si>
  <si>
    <t>81.2</t>
  </si>
  <si>
    <t>14.8</t>
  </si>
  <si>
    <t>Name: Wiendenbeck et al., 1995 Link: https://onlinelibrary.wiley.com/doi/pdf/10.1111/j.1751-908X.1995.tb00147.x</t>
  </si>
  <si>
    <t>Name: Wiendenbeck et al., 2004 Link: https://onlinelibrary.wiley.com/doi/full/10.1111/j.1751-908X.2004.tb01041.x</t>
  </si>
  <si>
    <t>Zrn- BB-16</t>
  </si>
  <si>
    <t xml:space="preserve">Megacrystic zircon, placer deposit of the Ratnapura gemstone field, south-western region of the Sri Lankan Highland Complex_x000D_
BB (blueberry), each number refers to one megacryst_x000D_
Santos et al0., 2017_x000D_
_x000D_
7/6 age = 556 - 565 Ma _x000D_
6/8 age = 554 - 563 Ma (562+-6Ma JWG, 6/8 age)_x000D_
Th/U = 0.20 - 0.47_x000D_
U ppm = 227-368 _x000D_
Pb ppm = _x000D_
</t>
  </si>
  <si>
    <t>0.0589</t>
  </si>
  <si>
    <t>0.0913</t>
  </si>
  <si>
    <t>Name: Santos et al., 2017 Link: https://onlinelibrary.wiley.com/doi/full/10.1111/ggr.12167</t>
  </si>
  <si>
    <t>Zrn- GJ1</t>
  </si>
  <si>
    <t xml:space="preserve">Gem quality zrn, c. 1cm _x000D_
African pegmatite_x000D_
Jackson et al., 2004: Morel et al., 2008_x000D_
_x000D_
7/6 age =_x000D_
6/8 age = 609_x000D_
Th/U = 0.0248_x000D_
U ppm = 290 (212–422)_x000D_
Pb ppm = 19.3 - 37.4_x000D_
_x000D_
</t>
  </si>
  <si>
    <t>25</t>
  </si>
  <si>
    <t>Name: Morel et al., 2008 Link: https://www.sciencedirect.com/science/article/pii/S0009254108002647</t>
  </si>
  <si>
    <t>Zrn- OG1</t>
  </si>
  <si>
    <t xml:space="preserve">Owens Gully Diorite (Kloppenburg 2003, Hickman and Van Kranendonk 2008)_x000D_
small intrusion within the Mount Edgar Granitic Complex (east Pilbara Terrane of the Archaean(3.6-2.8 Ga) Pilbara Craton, Western Australia (Van Kranendonk et al. 2006))_x000D_
_x000D_
medium-grained, homogeneous, foliated hornblende-biotite quartz diorite that contains accessory titanite, Fe-oxides, pyrite, zircon and epidote._x000D_
_x000D_
7/6 age = 3465.4 ± 0.6 Ma_x000D_
6/8 age =  3468.1 ± 1.8 Ma_x000D_
Th/U = 0.62 - 0.84_x000D_
U ppm = 122 - 393 _x000D_
Pb ppm = (207Pb* ~ 30 ppm)_x000D_
_x000D_
</t>
  </si>
  <si>
    <t>0.29907</t>
  </si>
  <si>
    <t>3465.4</t>
  </si>
  <si>
    <t>3468.1</t>
  </si>
  <si>
    <t>0.7</t>
  </si>
  <si>
    <t>200</t>
  </si>
  <si>
    <t>Name: Stern et al. 2009 Link: https://onlinelibrary.wiley.com/doi/10.1111/j.1751-908X.2009.00023.x</t>
  </si>
  <si>
    <t>Name: Kemp et al. 2017 Link: https://onlinelibrary.wiley.com/doi/full/10.1111/ggr.12182</t>
  </si>
  <si>
    <t>Zrn- Penglai</t>
  </si>
  <si>
    <t xml:space="preserve">Megacrysts in the Early Pliocene alkaline basalts from northern Hainan Island of South China_x000D_
Li et al. 2010_x000D_
5.31+-0.10 (d18O, 2s)_x000D_
0.282906 ± 0.0000010 (2s, 176Hf/177Hf )_x000D_
_x000D_
7/6 age =_x000D_
6/8 age = 4.4 ± 0.1 _x000D_
Th/U = _x000D_
U ppm = _x000D_
Pb ppm = _x000D_
    (variably high common Pb)_x000D_
</t>
  </si>
  <si>
    <t>Zrn- Plesovice</t>
  </si>
  <si>
    <t xml:space="preserve">Megacryst zircon from potasic granulite (Bohemian Massif)_x000D_
Slama et al. 2008_x000D_
465-1106 Uppm (pristine parts, rims) to c. 1289-3084 ppm (metamictic areas, cores) _x000D_
_x000D_
7/6 age =_x000D_
6/8 age = 337.13 ± 0.37 Ma (2SD)_x000D_
Th/U = _x000D_
U ppm = 465_x000D_
Pb ppm = 21_x000D_
</t>
  </si>
  <si>
    <t>0.053247</t>
  </si>
  <si>
    <t>0.053691</t>
  </si>
  <si>
    <t>0.1</t>
  </si>
  <si>
    <t>755</t>
  </si>
  <si>
    <t>39</t>
  </si>
  <si>
    <t>Zrn- Temora1</t>
  </si>
  <si>
    <t xml:space="preserve">Black et al., 2003_x000D_
200 μm × 100 μm zircons, from a monzodiorite_x000D_
_x000D_
7/6 age =_x000D_
6/8 age = 417_x000D_
Th/U = _x000D_
U ppm = 64 - 846 (14.3 aver.)_x000D_
Pb ppm = _x000D_
</t>
  </si>
  <si>
    <t>64-846</t>
  </si>
  <si>
    <t>Zrn- Temora2</t>
  </si>
  <si>
    <t xml:space="preserve">Black et al., 2004_x000D_
_x000D_
7/6 age =_x000D_
6/8 age = 417 Ma_x000D_
Th/U = _x000D_
U ppm = 82-320 _x000D_
Pb ppm = _x000D_
</t>
  </si>
  <si>
    <t>82-320</t>
  </si>
  <si>
    <t xml:space="preserve">Dolomite_x000D_
Zechstein dolomite (Gypsum pit, Tettenborn, Germany)_x000D_
250-258 Ma (dolomitization was very early diagenetic)_x000D_
The Zechstein is a unit of sedimentary rock layers of Middle to Late Permian (Guadalupian to Lopingian) age located in the European Permian Basin._x000D_
_x000D_
7/6 age =_x000D_
6/8 age = _x000D_
Th/U = _x000D_
U ppm = _x000D_
Pb ppm = _x000D_
</t>
  </si>
  <si>
    <t>1.011</t>
  </si>
  <si>
    <t>Name: Kent 2008 Link: https://onlinelibrary.wiley.com/doi/epdf/10.1111/j.1751-908X.2008.00872.x</t>
  </si>
  <si>
    <t>5103.9</t>
  </si>
  <si>
    <t xml:space="preserve">Aritifial galss_x000D_
Jochum et al. 2011_x000D_
NIST SRM 610_x000D_
_x000D_
7/6 ratio = 0.90986_x000D_
6/8 age = _x000D_
Th/U = _x000D_
U ppm = 474.5 _x000D_
Pb ppm = 434.3 _x000D_
_x000D_
_x000D_
</t>
  </si>
  <si>
    <t>255</t>
  </si>
  <si>
    <t>Name: Mason et al 2003 Link: https://onlinelibrary.wiley.com/doi/full/10.1111/j.1751-908X.2013.00219.x</t>
  </si>
  <si>
    <t>Name: Roberts et al. 2017 Link: https://agupubs.onlinelibrary.wiley.com/doi/full/10.1002/2016GC006784</t>
  </si>
  <si>
    <t>Name: Jackson et al., 2004 Link: https://www.sciencedirect.com/science/article/pii/S0009254104002074</t>
  </si>
  <si>
    <t>Name: Vaks et al., 2013 Link: https://www.sciencedirect.com/science/article/pii/S0012821X13000940</t>
  </si>
  <si>
    <t>Name: Slama et al., 2008 Link: https://www.sciencedirect.com/science/article/pii/S0009254107004883</t>
  </si>
  <si>
    <t>Name: Janusek et al., 2007 Link: http://www.jgeosci.org/detail/jgeosci.010/abstract</t>
  </si>
  <si>
    <t>Carbonate_x000D_
Roberts et al. 2017_x000D_
_x000D_
7/6 age =_x000D_
6/8 age = 254.4 +- 6.4 Ma (IDTIMS)_x000D_
Th/U = _x000D_
U ppm = _x000D_
Pb ppm = _x000D_
_x000D_
Anchore it to 0.85 +- 0.04  7/6 ratio (must be refined, 4965Ma)_x000D_
Admits 208Pb based correction (c. 8-9% cPb)</t>
  </si>
  <si>
    <t>0.823</t>
  </si>
  <si>
    <t xml:space="preserve">2.32 </t>
  </si>
  <si>
    <t>0.9089</t>
  </si>
  <si>
    <t>37.38</t>
  </si>
  <si>
    <t>38.57</t>
  </si>
  <si>
    <t>0.9907</t>
  </si>
  <si>
    <t>461.5</t>
  </si>
  <si>
    <t>426</t>
  </si>
  <si>
    <t>0.375</t>
  </si>
  <si>
    <t>Name: Empty Link: https://</t>
  </si>
  <si>
    <t>Name: Georem Link: http://georem.mpch-mainz.gwdg.de/</t>
  </si>
  <si>
    <t>Unknown:</t>
  </si>
  <si>
    <t>Frac mode 82</t>
  </si>
  <si>
    <t>Frac mode 68</t>
  </si>
  <si>
    <t>Visu cell</t>
  </si>
  <si>
    <t>cPb corr</t>
  </si>
  <si>
    <t>Show Welcome</t>
  </si>
  <si>
    <t>ReProcess?</t>
  </si>
  <si>
    <t>Background</t>
  </si>
  <si>
    <t>Range:</t>
  </si>
  <si>
    <t>DelLineLast</t>
  </si>
  <si>
    <t>DelLineFrst</t>
  </si>
  <si>
    <t>OutlierNumb</t>
  </si>
  <si>
    <t>OutlierCell</t>
  </si>
  <si>
    <t>ForceProces</t>
  </si>
  <si>
    <t>ViewResults</t>
  </si>
  <si>
    <t>Laboratory &amp; Sample Preparation</t>
  </si>
  <si>
    <t>Laboratory name</t>
  </si>
  <si>
    <t>Sample type/mineral</t>
  </si>
  <si>
    <t>Sample preparation</t>
  </si>
  <si>
    <t>Imaging</t>
  </si>
  <si>
    <t>Laser ablation system</t>
  </si>
  <si>
    <t>Make, Model &amp; type</t>
  </si>
  <si>
    <t>193 nm</t>
  </si>
  <si>
    <t>Static spot ablation</t>
  </si>
  <si>
    <t>ICP-MS Instrument</t>
  </si>
  <si>
    <t>Sample introduction</t>
  </si>
  <si>
    <t>Detection system</t>
  </si>
  <si>
    <t>Masses measured</t>
  </si>
  <si>
    <t>Data Processing</t>
  </si>
  <si>
    <t>Gas blank</t>
  </si>
  <si>
    <t>Calibration strategy</t>
  </si>
  <si>
    <t>Mass discrimination</t>
  </si>
  <si>
    <t>No common-Pb correction applied to the data.</t>
  </si>
  <si>
    <t>Uncertainty level &amp; propagation</t>
  </si>
  <si>
    <t>Quality control / Validation</t>
  </si>
  <si>
    <t>Other information</t>
  </si>
  <si>
    <t>Carbonate</t>
  </si>
  <si>
    <t>20 ns</t>
  </si>
  <si>
    <t>RESOlution ArF excimer laser (COMpex Pro 102)</t>
  </si>
  <si>
    <t>Ablation rate</t>
  </si>
  <si>
    <t>ThermoScientific ElementXr sector field ICP-MS</t>
  </si>
  <si>
    <t>206, 207, 208, 232, 238</t>
  </si>
  <si>
    <t>1300 W</t>
  </si>
  <si>
    <t>In-house VBA spreadsheet program (Gerdes and Zeh, 2006, 2009). 
Intercept method for LIEF correction, assumes cPb corrected WC-1 and samples behave identically.</t>
  </si>
  <si>
    <t>25 mm polished resin mounts</t>
  </si>
  <si>
    <r>
      <t>2 J/cm</t>
    </r>
    <r>
      <rPr>
        <vertAlign val="superscript"/>
        <sz val="12"/>
        <color rgb="FF000000"/>
        <rFont val="Times New Roman"/>
        <family val="1"/>
      </rPr>
      <t>2</t>
    </r>
  </si>
  <si>
    <t xml:space="preserve">Ablation aerosol </t>
  </si>
  <si>
    <t>LA-ICP-MS U-Th-Pb data report</t>
  </si>
  <si>
    <t>Data processing / LIEF correction</t>
  </si>
  <si>
    <t>Ablation cell</t>
  </si>
  <si>
    <t>~ 0.6 μm/s</t>
  </si>
  <si>
    <t>Petrographic microscope &amp; 2400 dpi digital scan</t>
  </si>
  <si>
    <t>Two-volume ablation cell (Laurin Technic S155)</t>
  </si>
  <si>
    <t>12 Hz</t>
  </si>
  <si>
    <t>FIERCE, Frankfurt Isotope &amp; Element Research Center
Goethe Univesität, Frankfurt am Main</t>
  </si>
  <si>
    <t xml:space="preserve">Laser wavelength </t>
  </si>
  <si>
    <t xml:space="preserve">Pulse width </t>
  </si>
  <si>
    <t xml:space="preserve">Fluence </t>
  </si>
  <si>
    <t xml:space="preserve">Repetition rate </t>
  </si>
  <si>
    <t xml:space="preserve">Ablation duration </t>
  </si>
  <si>
    <t>Spot shape &amp; size</t>
  </si>
  <si>
    <r>
      <t xml:space="preserve">Square, 213 </t>
    </r>
    <r>
      <rPr>
        <sz val="12"/>
        <color rgb="FF000000"/>
        <rFont val="Symbol"/>
        <family val="1"/>
        <charset val="2"/>
      </rPr>
      <t>m</t>
    </r>
    <r>
      <rPr>
        <sz val="12"/>
        <color rgb="FF000000"/>
        <rFont val="Times New Roman"/>
        <family val="1"/>
      </rPr>
      <t>m (side)</t>
    </r>
  </si>
  <si>
    <t xml:space="preserve">Sampling mode </t>
  </si>
  <si>
    <t>RF power</t>
  </si>
  <si>
    <t>Common-Pb correction</t>
  </si>
  <si>
    <t>Dead time</t>
  </si>
  <si>
    <t>Sample cell: He. Funnel: He + Ar. Tubbing: He + Ar + N</t>
  </si>
  <si>
    <t>Gasses</t>
  </si>
  <si>
    <t>Gas flows</t>
  </si>
  <si>
    <t>20 s on-peak zero subtracted.</t>
  </si>
  <si>
    <t>He (300 ml/min), Ar (1100 ml/min), N (5 ml/min).</t>
  </si>
  <si>
    <t>29 ns</t>
  </si>
  <si>
    <t>99 ms</t>
  </si>
  <si>
    <t>Samples per peak/integration type</t>
  </si>
  <si>
    <t>4 for all masses/average</t>
  </si>
  <si>
    <t xml:space="preserve">Number of runs/total time </t>
  </si>
  <si>
    <t>370 / 36.6 s</t>
  </si>
  <si>
    <t>Dwell times</t>
  </si>
  <si>
    <t>206: 6.4 ms, 207: 7.5 ms, 208: 3.0 ms, 232: 2.0 ms, 238: 4.6 ms</t>
  </si>
  <si>
    <t>Total time per run</t>
  </si>
  <si>
    <t>18 s</t>
  </si>
  <si>
    <t>Acquisition mode</t>
  </si>
  <si>
    <t>Reference Material (RM) information</t>
  </si>
  <si>
    <t>Pre-ablation</t>
  </si>
  <si>
    <t>4 pulses (same parameters as main ablation)</t>
  </si>
  <si>
    <t>Trigger from laser (20 s after pre-ablation), background: 18 s, ablation: 18 s</t>
  </si>
  <si>
    <t>Secondary electron multiplier (with conversion dynode at -8kV). Simultaneous analogue and counting (pulse) modes of detection (conversion factors calculated per mass and applied offline). Magnetic field fixed. Detection by peak jumping with electrostatic analyzer.</t>
  </si>
  <si>
    <t>Detection Limits</t>
  </si>
  <si>
    <r>
      <t>RM</t>
    </r>
    <r>
      <rPr>
        <b/>
        <vertAlign val="subscript"/>
        <sz val="10"/>
        <rFont val="Arial"/>
        <family val="2"/>
      </rPr>
      <t>0</t>
    </r>
  </si>
  <si>
    <t>b</t>
  </si>
  <si>
    <t>c</t>
  </si>
  <si>
    <t>d</t>
  </si>
  <si>
    <t>g</t>
  </si>
  <si>
    <t>f</t>
  </si>
  <si>
    <t>NoCorrection</t>
  </si>
  <si>
    <t>[µm]</t>
  </si>
  <si>
    <t>Volume ablated</t>
  </si>
  <si>
    <t xml:space="preserve">   Sequence 1:
WC-1:     253.8 ± 2.2 Ma (2s, MSWD = 1.5, n = 13)
NAMA:   545.6 ± 6.6 Ma (2s, MSWD = 1.02, n = 13)
Calgrun:  20.35 ± 0.50 Ma (2s, MSWD = 1.2, n = 13)
   Sequence 2:
WC-1:     253.8 ± 2.3 Ma (2s, MSWD = 0.52, n = 26)
ASH15D:  3.01 ± 0.15 Ma (2s, MSWD = 1.2, n = 26)
   Sequence 3:
WC-1:     254.0 ± 1.2 Ma (2s, MSWD = 1.4, n = 26)
ASH15D:  2.98 ± 0.11 Ma (2s, MSWD = 0.62, n = 26)
NAMA:  542.7 ± 8.3 Ma (2s, MSWD = 0.86, n = 12)
(Ages are the 206Pb/238U lower intercept ages of the calculated isochrons with the concordia curve in the Tera-Wasserburg space)</t>
  </si>
  <si>
    <t>Name: Woodhead and Hergt 2001 Link: https://onlinelibrary.wiley.com/doi/epdf/10.1111/j.1751-908X.2001.tb00601.x</t>
  </si>
  <si>
    <t>NIST SRM 612, Aritifial galss, Jochum et al. 2011, Woodhead and Hergt 2001_x000D_
_x000D_
7/6 age =_x000D_
6/8 age = _x000D_
Th/U = _x000D_
U ppm = 37.68 _x000D_
Pb ppm = 38.6 _x000D_
_x000D_
7/6 rat = 0.9073+- 0.001 (SD)_x000D_
8/6 rat = 2.16385 +- 0.00013_x000D_
6/38 rat = 0.287069 ( 38/6 = 3.483482 +- 0.006)_x000D_
38/4 rat = 59.555 +- 0.159 (2s%)_x000D_
32/6 = 3.631+- 0.007_x000D_
U ppb = 36866.98_x000D_
Pb ppb = 37779.07_x000D_
Th ppb = 38423.67</t>
  </si>
  <si>
    <t>4</t>
  </si>
  <si>
    <t>0.2871</t>
  </si>
  <si>
    <t>1 - Ratio uncertainty RM</t>
  </si>
  <si>
    <t xml:space="preserve">2 - Counting statistics </t>
  </si>
  <si>
    <t>3 - Excess of variance</t>
  </si>
  <si>
    <t xml:space="preserve">1 - Background </t>
  </si>
  <si>
    <t>2 - Long term variance</t>
  </si>
  <si>
    <t>3 - Decay constants</t>
  </si>
  <si>
    <t>42</t>
  </si>
  <si>
    <t>8/6 ratio</t>
  </si>
  <si>
    <t>2.1013</t>
  </si>
  <si>
    <t>Hz</t>
  </si>
  <si>
    <t>Fluence</t>
  </si>
  <si>
    <t>Vol Factor</t>
  </si>
  <si>
    <t>Spot diameter</t>
  </si>
  <si>
    <t>0.0601</t>
  </si>
  <si>
    <t>0.007659</t>
  </si>
  <si>
    <t>0.0981</t>
  </si>
  <si>
    <t>607</t>
  </si>
  <si>
    <t>603</t>
  </si>
  <si>
    <t>Time</t>
  </si>
  <si>
    <t>Use log-ratio transform</t>
  </si>
  <si>
    <t>Cass- Swassi</t>
  </si>
  <si>
    <t>3086</t>
  </si>
  <si>
    <t>Cass- ED-WG</t>
  </si>
  <si>
    <t>314</t>
  </si>
  <si>
    <r>
      <t>RM</t>
    </r>
    <r>
      <rPr>
        <vertAlign val="subscript"/>
        <sz val="10"/>
        <rFont val="Arial"/>
        <family val="2"/>
      </rPr>
      <t>0</t>
    </r>
    <r>
      <rPr>
        <sz val="10"/>
        <rFont val="Arial"/>
        <family val="2"/>
      </rPr>
      <t xml:space="preserve"> (n=21) </t>
    </r>
    <r>
      <rPr>
        <vertAlign val="superscript"/>
        <sz val="10"/>
        <rFont val="Arial"/>
        <family val="2"/>
      </rPr>
      <t>g</t>
    </r>
  </si>
  <si>
    <r>
      <t>RM</t>
    </r>
    <r>
      <rPr>
        <vertAlign val="subscript"/>
        <sz val="10"/>
        <rFont val="Arial"/>
        <family val="2"/>
      </rPr>
      <t>1</t>
    </r>
    <r>
      <rPr>
        <sz val="10"/>
        <rFont val="Arial"/>
        <family val="2"/>
      </rPr>
      <t xml:space="preserve"> (n=22) </t>
    </r>
    <r>
      <rPr>
        <vertAlign val="superscript"/>
        <sz val="10"/>
        <rFont val="Arial"/>
        <family val="2"/>
      </rPr>
      <t>g</t>
    </r>
  </si>
  <si>
    <r>
      <t>RM</t>
    </r>
    <r>
      <rPr>
        <vertAlign val="subscript"/>
        <sz val="10"/>
        <rFont val="Arial"/>
        <family val="2"/>
      </rPr>
      <t>2</t>
    </r>
    <r>
      <rPr>
        <sz val="10"/>
        <rFont val="Arial"/>
        <family val="2"/>
      </rPr>
      <t xml:space="preserve"> (n=22) </t>
    </r>
    <r>
      <rPr>
        <vertAlign val="superscript"/>
        <sz val="10"/>
        <rFont val="Arial"/>
        <family val="2"/>
      </rPr>
      <t>g</t>
    </r>
  </si>
  <si>
    <r>
      <t>RM</t>
    </r>
    <r>
      <rPr>
        <vertAlign val="subscript"/>
        <sz val="10"/>
        <rFont val="Arial"/>
        <family val="2"/>
      </rPr>
      <t>3</t>
    </r>
    <r>
      <rPr>
        <sz val="10"/>
        <rFont val="Arial"/>
        <family val="2"/>
      </rPr>
      <t xml:space="preserve"> (n=22) </t>
    </r>
    <r>
      <rPr>
        <vertAlign val="superscript"/>
        <sz val="10"/>
        <rFont val="Arial"/>
        <family val="2"/>
      </rPr>
      <t>g</t>
    </r>
  </si>
  <si>
    <t>Grt- Pakistan</t>
  </si>
  <si>
    <t>45</t>
  </si>
  <si>
    <t>c. 45 Ma</t>
  </si>
  <si>
    <t>c. 314 - 315 Ma</t>
  </si>
  <si>
    <t>c. 3085 Ma</t>
  </si>
  <si>
    <t>Grt- Mali Black</t>
  </si>
  <si>
    <t>c. 202 Ma</t>
  </si>
  <si>
    <t>Ap- Durango</t>
  </si>
  <si>
    <t>31.44</t>
  </si>
  <si>
    <t>Name: Chew et al 2011 Link: https://www.sciencedirect.com/science/article/pii/S0009254110004031?via%3Dihub</t>
  </si>
  <si>
    <t>The Durango apatite is a distinctive yellow-green fluorapatite that is found as exceptional coarse crystals within the open pit iron mine at Cerro deMercado, on the northern outskirts of Durango City, Mexico._x000D_
_x000D_
Associated with emplacement of small felsic intrusions along the southern margin of the Chupaderos caldera complex, and formed between the eruptions of two major ignimbrites from the caldera. Four single-crystal sanidine-anorthoclase 40Ar–39Ar ages from these ignimbrites have yielded a reference age of 31.44±0.18 Ma (2σ) for the apatite itself (McDowell et al., 2005)._x000D_
_x000D_
24 (U–Th–Sm)/He ages yield a mean of age of 31.02±1.01 (1σ), with a mean U/Th (wt/wt) ratio of 0.054 calculated from 30 analyses.</t>
  </si>
  <si>
    <t>Cass- SPG</t>
  </si>
  <si>
    <t xml:space="preserve">1542.7 </t>
  </si>
  <si>
    <t>SPG cassiterite from Pitkäranta pyroxene-garne skarn deposits (Karelia, Russia). They are spatially and genetically associated with late intrusive phases of the 1.55–1.53 Ga Salmi rapakivigranite batholith._x000D_
_x000D_
The weighted average 207Pb*/206Pb* age of 1542.7 ± 1.5 Ma (2 SE,MSWD = 1.5) measured in 37 LA-ICPMS analytical sessions._x000D_
_x000D_
Initial 207Pb/206Pb value of 1.0104 ± 0.0062 (ID-TIMS)_x000D_
208Pb/206Pb of 2.3269 ± 0.004 (measured in cogenetic galena)._x000D_
_x000D_
median [U] of 29.1 ppm_x000D_
median [Th] of 0.00018 ppm</t>
  </si>
  <si>
    <t>Name: Neymark et al., 2018 Link: https://www.sciencedirect.com/science/article/abs/pii/S0009254118301190?via%3Dihub</t>
  </si>
  <si>
    <t>Name: Tapster and Bright 2020 Link: https://gchron.copernicus.org/preprints/gchron-2019-22/</t>
  </si>
  <si>
    <t>Name: Rizvanova and Kutsnetsov 2020 Link: https://link.springer.com/article/10.1134/S1028334X20030150</t>
  </si>
  <si>
    <t>Gls- NIST616</t>
  </si>
  <si>
    <t>0.8547</t>
  </si>
  <si>
    <t>7.055</t>
  </si>
  <si>
    <t>5015</t>
  </si>
  <si>
    <t>13449</t>
  </si>
  <si>
    <t>0.349515</t>
  </si>
  <si>
    <t>0.0721</t>
  </si>
  <si>
    <t>1.85</t>
  </si>
  <si>
    <r>
      <t>238</t>
    </r>
    <r>
      <rPr>
        <u/>
        <sz val="10"/>
        <rFont val="Arial"/>
        <family val="2"/>
      </rPr>
      <t>U</t>
    </r>
    <r>
      <rPr>
        <u/>
        <vertAlign val="superscript"/>
        <sz val="10"/>
        <rFont val="Arial"/>
        <family val="2"/>
      </rPr>
      <t>c</t>
    </r>
  </si>
  <si>
    <r>
      <t>207</t>
    </r>
    <r>
      <rPr>
        <u/>
        <sz val="10"/>
        <rFont val="Arial"/>
        <family val="2"/>
      </rPr>
      <t>Pb</t>
    </r>
    <r>
      <rPr>
        <u/>
        <vertAlign val="superscript"/>
        <sz val="10"/>
        <rFont val="Arial"/>
        <family val="2"/>
      </rPr>
      <t>c</t>
    </r>
  </si>
  <si>
    <r>
      <t>208</t>
    </r>
    <r>
      <rPr>
        <u/>
        <sz val="10"/>
        <rFont val="Arial"/>
        <family val="2"/>
      </rPr>
      <t>Pb</t>
    </r>
    <r>
      <rPr>
        <u/>
        <vertAlign val="superscript"/>
        <sz val="10"/>
        <rFont val="Arial"/>
        <family val="2"/>
      </rPr>
      <t>c</t>
    </r>
  </si>
  <si>
    <r>
      <t>rho</t>
    </r>
    <r>
      <rPr>
        <vertAlign val="superscript"/>
        <sz val="10"/>
        <rFont val="Arial"/>
        <family val="2"/>
      </rPr>
      <t>d</t>
    </r>
  </si>
  <si>
    <t>Cal- B6</t>
  </si>
  <si>
    <t>Name: Pagel et al,. 2018 Link: https://www.sciencedirect.com/science/article/abs/pii/S0009254117307076</t>
  </si>
  <si>
    <t>Cal- ECC4</t>
  </si>
  <si>
    <t>Our "Cal braun"</t>
  </si>
  <si>
    <t>Random:</t>
  </si>
  <si>
    <t>2.1648</t>
  </si>
  <si>
    <t>0.90996</t>
  </si>
  <si>
    <t>2.1696</t>
  </si>
  <si>
    <t xml:space="preserve">NIST SRM 614, Aritifial galss, Jochum et al. 2011_x000D_
_x000D_
7/6 rat = 0.8704 - 0.87101 (7/6 age = "5042 Ma")_x000D_
6/8 rat = 0.8078 (6/8 age = "3817 Ma")_x000D_
8/6 rat = 2.0995 - 2.1017_x000D_
Th/U = _x000D_
U ppm = 0.8230_x000D_
Pb ppm = 2.32_x000D_
_x000D_
7/6 rat = 0.871 +- 2.22E-04 (SD)_x000D_
6/38 rat = 0.827 (SD, 38/6 = 1.209 +- 0.046)_x000D_
38/4 rat = 21.551 +- 0.820_x000D_
32/6 = 1.154 +- 0.042_x000D_
U ppb = 800.455 +- 8.621 (Certificate: 823 +- 20)_x000D_
Pb ppb = 2307.922 +- 74.695 (Cert: 2320 +- 40)_x000D_
Th ppb = 764.381 +- 6.226 (Cert: 748 +- 6)_x000D_
</t>
  </si>
  <si>
    <t>Grt- Lake Jaco</t>
  </si>
  <si>
    <t>34</t>
  </si>
  <si>
    <t>Name: Seman et al. 2017 Link: https://www.sciencedirect.com/science/article/pii/S0009254117302541?via%3Dihub</t>
  </si>
  <si>
    <t>1.7</t>
  </si>
  <si>
    <t>Lake Jaco Grossular, Sierra de Cruces Range, Coahuila, Mexico._x000D_
Seman et al., 2017_x000D_
_x000D_
"LA-ICPMS U-Pb lower intercept date of 34 ± 1.4 Ma agrees well with (U-Th)/He results which give a date of_x000D_
35 ± 5 Ma"_x000D_
_x000D_
Grs:  84, And: 16_x000D_
_x000D_
U (ppm): 1.7 +- 0.3 (2SD)_x000D_
Th (ppm): 3.2 +- 0.4 (2SD)</t>
  </si>
  <si>
    <t>Systematic:</t>
  </si>
  <si>
    <t>Help</t>
  </si>
  <si>
    <t>²⁰⁷</t>
  </si>
  <si>
    <t>²⁰⁶</t>
  </si>
  <si>
    <t>²³⁸</t>
  </si>
  <si>
    <t>Soda-lime glass NIST SRM-614, WC-1 (Roberts et al., 2017), ASH15D (Vaks et al., 2003), NAMA (in-house dolomite RM), Calgrun (in-house calcite RM).</t>
  </si>
  <si>
    <t xml:space="preserve"> - Primary RM: NIST SRM-614
 - Offset RM: WC-1
 - Validation RM: ASH15D, NAMA and Calgrun</t>
  </si>
  <si>
    <t>a</t>
  </si>
  <si>
    <t>e</t>
  </si>
  <si>
    <t>Order</t>
  </si>
  <si>
    <t>Prim Std:</t>
  </si>
  <si>
    <t>Depth</t>
  </si>
  <si>
    <t>Spotsize</t>
  </si>
  <si>
    <t>4 - Model cPb ratio unc.</t>
  </si>
  <si>
    <t>Mass bias</t>
  </si>
  <si>
    <t>Percent</t>
  </si>
  <si>
    <t>Uncertainties</t>
  </si>
  <si>
    <t>Instrumental drift correction</t>
  </si>
  <si>
    <t>Nist614</t>
  </si>
  <si>
    <t>254.4</t>
  </si>
  <si>
    <t>Anchores</t>
  </si>
  <si>
    <t xml:space="preserve">RM3: </t>
  </si>
  <si>
    <t>0.85</t>
  </si>
  <si>
    <t>10000</t>
  </si>
  <si>
    <t>10</t>
  </si>
  <si>
    <t>4.8</t>
  </si>
  <si>
    <t>2.0846</t>
  </si>
  <si>
    <t xml:space="preserve">Grt, skarn deposit_x000D_
202.0 +-1.2 Ma_x000D_
Seman et al., 2017_x000D_
See Mali GUF_x000D_
</t>
  </si>
  <si>
    <t>0.86</t>
  </si>
  <si>
    <t>5</t>
  </si>
  <si>
    <t>100000</t>
  </si>
  <si>
    <t>10B</t>
  </si>
  <si>
    <t>11B</t>
  </si>
  <si>
    <t>11B/10B</t>
  </si>
  <si>
    <r>
      <rPr>
        <vertAlign val="superscript"/>
        <sz val="12"/>
        <rFont val="Arial"/>
        <family val="2"/>
      </rPr>
      <t>11</t>
    </r>
    <r>
      <rPr>
        <sz val="12"/>
        <rFont val="Arial"/>
        <family val="2"/>
      </rPr>
      <t>B/</t>
    </r>
    <r>
      <rPr>
        <vertAlign val="superscript"/>
        <sz val="12"/>
        <rFont val="Arial"/>
        <family val="2"/>
      </rPr>
      <t>10</t>
    </r>
    <r>
      <rPr>
        <sz val="12"/>
        <rFont val="Arial"/>
        <family val="2"/>
      </rPr>
      <t>B</t>
    </r>
  </si>
  <si>
    <r>
      <rPr>
        <vertAlign val="superscript"/>
        <sz val="12"/>
        <rFont val="Arial"/>
        <family val="2"/>
      </rPr>
      <t>10</t>
    </r>
    <r>
      <rPr>
        <sz val="12"/>
        <rFont val="Arial"/>
        <family val="2"/>
      </rPr>
      <t>B</t>
    </r>
  </si>
  <si>
    <r>
      <rPr>
        <vertAlign val="superscript"/>
        <sz val="12"/>
        <rFont val="Arial"/>
        <family val="2"/>
      </rPr>
      <t>11</t>
    </r>
    <r>
      <rPr>
        <sz val="12"/>
        <rFont val="Arial"/>
        <family val="2"/>
      </rPr>
      <t>B</t>
    </r>
  </si>
  <si>
    <t>$A$1</t>
  </si>
  <si>
    <t xml:space="preserve">RM2: </t>
  </si>
  <si>
    <t>10B*</t>
  </si>
  <si>
    <t>10B*b</t>
  </si>
  <si>
    <t>11B*b</t>
  </si>
  <si>
    <t>corrected</t>
  </si>
  <si>
    <t>11B/10B corr</t>
  </si>
  <si>
    <t>B (ppm)</t>
  </si>
  <si>
    <t xml:space="preserve">RM4: </t>
  </si>
  <si>
    <t xml:space="preserve">RM5: </t>
  </si>
  <si>
    <t>New L3 H4</t>
  </si>
  <si>
    <t>Old L4 H3</t>
  </si>
  <si>
    <t>L4</t>
  </si>
  <si>
    <t>L3</t>
  </si>
  <si>
    <t xml:space="preserve"> SD %</t>
  </si>
  <si>
    <t>SE%</t>
  </si>
  <si>
    <t>Nist 610</t>
  </si>
  <si>
    <t>SRM951</t>
  </si>
  <si>
    <t>Kasemann et al 2001</t>
  </si>
  <si>
    <t>modified</t>
  </si>
  <si>
    <t>Nist 612</t>
  </si>
  <si>
    <t>Catanzaro et al. 1970</t>
  </si>
  <si>
    <r>
      <rPr>
        <sz val="10"/>
        <rFont val="Symbol"/>
        <family val="1"/>
        <charset val="2"/>
      </rPr>
      <t>d</t>
    </r>
    <r>
      <rPr>
        <vertAlign val="superscript"/>
        <sz val="10"/>
        <rFont val="Arial"/>
        <family val="2"/>
      </rPr>
      <t>11</t>
    </r>
    <r>
      <rPr>
        <sz val="10"/>
        <rFont val="Arial"/>
        <family val="2"/>
      </rPr>
      <t>B</t>
    </r>
  </si>
  <si>
    <t>1se%</t>
  </si>
  <si>
    <t>F F config</t>
  </si>
  <si>
    <t>Neptune reads</t>
  </si>
  <si>
    <r>
      <rPr>
        <b/>
        <sz val="10"/>
        <rFont val="Calibri"/>
        <family val="2"/>
      </rPr>
      <t>δ</t>
    </r>
    <r>
      <rPr>
        <b/>
        <vertAlign val="superscript"/>
        <sz val="10"/>
        <rFont val="Arial"/>
        <family val="2"/>
      </rPr>
      <t>11</t>
    </r>
    <r>
      <rPr>
        <b/>
        <sz val="10"/>
        <rFont val="Arial"/>
        <family val="2"/>
      </rPr>
      <t>B</t>
    </r>
  </si>
  <si>
    <r>
      <rPr>
        <vertAlign val="superscript"/>
        <sz val="10"/>
        <rFont val="Arial"/>
        <family val="2"/>
      </rPr>
      <t>11</t>
    </r>
    <r>
      <rPr>
        <sz val="10"/>
        <rFont val="Arial"/>
        <family val="2"/>
      </rPr>
      <t>B</t>
    </r>
  </si>
  <si>
    <r>
      <rPr>
        <vertAlign val="superscript"/>
        <sz val="10"/>
        <rFont val="Arial"/>
        <family val="2"/>
      </rPr>
      <t>11</t>
    </r>
    <r>
      <rPr>
        <sz val="10"/>
        <rFont val="Arial"/>
        <family val="2"/>
      </rPr>
      <t>B/</t>
    </r>
    <r>
      <rPr>
        <vertAlign val="superscript"/>
        <sz val="10"/>
        <rFont val="Arial"/>
        <family val="2"/>
      </rPr>
      <t>10</t>
    </r>
    <r>
      <rPr>
        <sz val="10"/>
        <rFont val="Arial"/>
        <family val="2"/>
      </rPr>
      <t>B</t>
    </r>
  </si>
  <si>
    <r>
      <rPr>
        <vertAlign val="superscript"/>
        <sz val="10"/>
        <rFont val="Arial"/>
        <family val="2"/>
      </rPr>
      <t>10</t>
    </r>
    <r>
      <rPr>
        <sz val="10"/>
        <rFont val="Arial"/>
        <family val="2"/>
      </rPr>
      <t>B mass</t>
    </r>
  </si>
  <si>
    <r>
      <rPr>
        <vertAlign val="superscript"/>
        <sz val="10"/>
        <rFont val="Arial"/>
        <family val="2"/>
      </rPr>
      <t>11</t>
    </r>
    <r>
      <rPr>
        <sz val="10"/>
        <rFont val="Arial"/>
        <family val="2"/>
      </rPr>
      <t>B mass</t>
    </r>
  </si>
  <si>
    <t>Average</t>
  </si>
  <si>
    <t xml:space="preserve">Sample ID: </t>
  </si>
  <si>
    <t xml:space="preserve">Wheel ID: </t>
  </si>
  <si>
    <t>View Mode: RUN_VIEW</t>
  </si>
  <si>
    <t>Evaluation Mode: Static</t>
  </si>
  <si>
    <t xml:space="preserve">Operator: </t>
  </si>
  <si>
    <t xml:space="preserve">Instrument: </t>
  </si>
  <si>
    <t xml:space="preserve">Comment: </t>
  </si>
  <si>
    <t>SampleType: SMP</t>
  </si>
  <si>
    <t xml:space="preserve">Blank 1: </t>
  </si>
  <si>
    <t xml:space="preserve">Blank 2: </t>
  </si>
  <si>
    <t xml:space="preserve">Standard 1: </t>
  </si>
  <si>
    <t xml:space="preserve">Standard 2: </t>
  </si>
  <si>
    <t xml:space="preserve">Data Version: 3.3.0.3 </t>
  </si>
  <si>
    <t xml:space="preserve">Export Version: 3.3.0.3 </t>
  </si>
  <si>
    <t>Cycle</t>
  </si>
  <si>
    <t>***</t>
  </si>
  <si>
    <t>Cup</t>
  </si>
  <si>
    <t>Info</t>
  </si>
  <si>
    <t>Blank</t>
  </si>
  <si>
    <t>Standard</t>
  </si>
  <si>
    <t>Mean</t>
  </si>
  <si>
    <t>StdErr (%)</t>
  </si>
  <si>
    <t>StdErr (abs)</t>
  </si>
  <si>
    <t>StdDev (%)</t>
  </si>
  <si>
    <t>StdDev (abs)</t>
  </si>
  <si>
    <t>Valid Values</t>
  </si>
  <si>
    <t>ExtErr</t>
  </si>
  <si>
    <t>11B/10B (1)</t>
  </si>
  <si>
    <t>tbdgyT</t>
  </si>
  <si>
    <t>No BLK</t>
  </si>
  <si>
    <t>No STD</t>
  </si>
  <si>
    <t>NOT AVAILABLE</t>
  </si>
  <si>
    <t>10.1</t>
  </si>
  <si>
    <r>
      <rPr>
        <vertAlign val="superscript"/>
        <sz val="10"/>
        <rFont val="Arial"/>
        <family val="2"/>
      </rPr>
      <t>10</t>
    </r>
    <r>
      <rPr>
        <sz val="10"/>
        <rFont val="Arial"/>
        <family val="2"/>
      </rPr>
      <t>B* bg</t>
    </r>
  </si>
  <si>
    <r>
      <rPr>
        <vertAlign val="superscript"/>
        <sz val="10"/>
        <rFont val="Arial"/>
        <family val="2"/>
      </rPr>
      <t>10</t>
    </r>
    <r>
      <rPr>
        <sz val="10"/>
        <rFont val="Arial"/>
        <family val="2"/>
      </rPr>
      <t>B* interf</t>
    </r>
  </si>
  <si>
    <t>±se%</t>
  </si>
  <si>
    <t>NIST614</t>
  </si>
  <si>
    <t>GSD</t>
  </si>
  <si>
    <t>GSC</t>
  </si>
  <si>
    <t>Standard StdErr (%)</t>
  </si>
  <si>
    <t>NIST612</t>
  </si>
  <si>
    <t>BIR</t>
  </si>
  <si>
    <t>h</t>
  </si>
  <si>
    <t>10.08 bg</t>
  </si>
  <si>
    <t>10.48 bg</t>
  </si>
  <si>
    <t>9.98 bg</t>
  </si>
  <si>
    <t>RM1: hot</t>
  </si>
  <si>
    <t>: % 2se</t>
  </si>
  <si>
    <t>519-4-1</t>
  </si>
  <si>
    <t>GSE-G</t>
  </si>
  <si>
    <t>NIST610</t>
  </si>
  <si>
    <t>GOR132-G</t>
  </si>
  <si>
    <t>GOR128-G</t>
  </si>
  <si>
    <t>hematite</t>
  </si>
  <si>
    <t>Ap AS16</t>
  </si>
  <si>
    <t>Durango</t>
  </si>
  <si>
    <t>-1.07</t>
  </si>
  <si>
    <t>MACS-3</t>
  </si>
  <si>
    <t>UWC-1</t>
  </si>
  <si>
    <t>12.6-12.9</t>
  </si>
  <si>
    <t>7.7-8.8</t>
  </si>
  <si>
    <t>UWC-3</t>
  </si>
  <si>
    <t>JCt</t>
  </si>
  <si>
    <t>JCp</t>
  </si>
  <si>
    <t>47.7-52.4</t>
  </si>
  <si>
    <t>24.19-24.33</t>
  </si>
  <si>
    <t>cps</t>
  </si>
  <si>
    <t>µm</t>
  </si>
  <si>
    <r>
      <t>1 sd</t>
    </r>
    <r>
      <rPr>
        <b/>
        <sz val="10"/>
        <rFont val="Calibri"/>
        <family val="2"/>
      </rPr>
      <t>‰</t>
    </r>
  </si>
  <si>
    <r>
      <t>1 se</t>
    </r>
    <r>
      <rPr>
        <b/>
        <sz val="10"/>
        <rFont val="Calibri"/>
        <family val="2"/>
      </rPr>
      <t>‰</t>
    </r>
  </si>
  <si>
    <t xml:space="preserve">11B/10B </t>
  </si>
  <si>
    <t>ppm</t>
  </si>
  <si>
    <r>
      <t>se(</t>
    </r>
    <r>
      <rPr>
        <sz val="10"/>
        <rFont val="Calibri"/>
        <family val="2"/>
      </rPr>
      <t>‰)</t>
    </r>
  </si>
  <si>
    <t xml:space="preserve"> SD </t>
  </si>
  <si>
    <t>BCR-2</t>
  </si>
  <si>
    <t>50 vs 33</t>
  </si>
  <si>
    <t>FF lbl</t>
  </si>
  <si>
    <t>90µm</t>
  </si>
  <si>
    <t>Basalt</t>
  </si>
  <si>
    <t>_A</t>
  </si>
  <si>
    <t>_B</t>
  </si>
  <si>
    <t>_C</t>
  </si>
  <si>
    <t>_U</t>
  </si>
  <si>
    <t>BCR-3</t>
  </si>
  <si>
    <t>BCR-4</t>
  </si>
  <si>
    <t>BCR-5</t>
  </si>
  <si>
    <t>BCR-6</t>
  </si>
  <si>
    <t>BCR-7</t>
  </si>
  <si>
    <t>BCR-8</t>
  </si>
  <si>
    <t>BHVO-2</t>
  </si>
  <si>
    <t>B7</t>
  </si>
  <si>
    <t>130µm</t>
  </si>
  <si>
    <t>NIST 612</t>
  </si>
  <si>
    <t>BHVO-3</t>
  </si>
  <si>
    <t>B8</t>
  </si>
  <si>
    <t>BHVO-4</t>
  </si>
  <si>
    <t>B9</t>
  </si>
  <si>
    <t>BHVO-5</t>
  </si>
  <si>
    <t>B10</t>
  </si>
  <si>
    <t>BHVO-6</t>
  </si>
  <si>
    <t>B11</t>
  </si>
  <si>
    <t>BHVO-7</t>
  </si>
  <si>
    <t>B12</t>
  </si>
  <si>
    <t>BHVO-8</t>
  </si>
  <si>
    <t>B13</t>
  </si>
  <si>
    <t>10*B [cps]</t>
  </si>
  <si>
    <t>11*B [cps]</t>
  </si>
  <si>
    <t>Hematit</t>
  </si>
  <si>
    <t>10B/10.1 (3)</t>
  </si>
  <si>
    <t>Estimated depth</t>
  </si>
  <si>
    <t>2SD, as reported in Standish et al 2019</t>
  </si>
  <si>
    <t>IC IC</t>
  </si>
  <si>
    <t>ic-ic</t>
  </si>
  <si>
    <t>f-ic</t>
  </si>
  <si>
    <t>10B/9.8 (2)</t>
  </si>
  <si>
    <t>11B/10.9 (4)</t>
  </si>
  <si>
    <t>OtbdgyT - St</t>
  </si>
  <si>
    <t>IC F</t>
  </si>
  <si>
    <t>_D</t>
  </si>
  <si>
    <t>H3</t>
  </si>
  <si>
    <t>i</t>
  </si>
  <si>
    <t>1</t>
  </si>
  <si>
    <t>H4</t>
  </si>
  <si>
    <r>
      <rPr>
        <vertAlign val="superscript"/>
        <sz val="10"/>
        <rFont val="Arial"/>
        <family val="2"/>
      </rPr>
      <t>10.9</t>
    </r>
    <r>
      <rPr>
        <sz val="10"/>
        <rFont val="Arial"/>
        <family val="2"/>
      </rPr>
      <t>* bg</t>
    </r>
  </si>
  <si>
    <t>IC-FC run</t>
  </si>
  <si>
    <t>F-F run</t>
  </si>
  <si>
    <t>11B bul</t>
  </si>
  <si>
    <t>30</t>
  </si>
  <si>
    <t>11bul</t>
  </si>
  <si>
    <t>10bul</t>
  </si>
  <si>
    <t>10.013 bul</t>
  </si>
  <si>
    <t>H2</t>
  </si>
  <si>
    <t>j</t>
  </si>
  <si>
    <t>[B]</t>
  </si>
  <si>
    <t>[B]_SE</t>
  </si>
  <si>
    <t>F F</t>
  </si>
  <si>
    <t>Method Name: C:\Neptune\User\NeptuneP\Methods\B method FF L3H4_ag.met</t>
  </si>
  <si>
    <t>L2</t>
  </si>
  <si>
    <t>C</t>
  </si>
  <si>
    <t>H4 | IC2</t>
  </si>
  <si>
    <t xml:space="preserve">IC2 | </t>
  </si>
  <si>
    <t>H4 | H3</t>
  </si>
  <si>
    <t>bulg corr</t>
  </si>
  <si>
    <t>no factor</t>
  </si>
  <si>
    <t>factor for carbonates</t>
  </si>
  <si>
    <t>H1</t>
  </si>
  <si>
    <t>182(182)</t>
  </si>
  <si>
    <t>RM0: Gls- NIST612</t>
  </si>
  <si>
    <t>averages</t>
  </si>
  <si>
    <r>
      <rPr>
        <sz val="10"/>
        <rFont val="Symbol"/>
        <family val="1"/>
        <charset val="2"/>
      </rPr>
      <t>d</t>
    </r>
    <r>
      <rPr>
        <vertAlign val="superscript"/>
        <sz val="10"/>
        <rFont val="Arial"/>
        <family val="2"/>
      </rPr>
      <t>11</t>
    </r>
    <r>
      <rPr>
        <sz val="10"/>
        <rFont val="Arial"/>
        <family val="2"/>
      </rPr>
      <t>B</t>
    </r>
    <r>
      <rPr>
        <sz val="10"/>
        <rFont val="Arial"/>
        <family val="1"/>
        <charset val="2"/>
      </rPr>
      <t>_SE (%)</t>
    </r>
  </si>
  <si>
    <t>carbonate factor</t>
  </si>
  <si>
    <t>001_A</t>
  </si>
  <si>
    <t>002_A</t>
  </si>
  <si>
    <t>051_A</t>
  </si>
  <si>
    <t>052_A</t>
  </si>
  <si>
    <t>101_A</t>
  </si>
  <si>
    <t>102_A</t>
  </si>
  <si>
    <t>151_A</t>
  </si>
  <si>
    <t>152_A</t>
  </si>
  <si>
    <t>201_A</t>
  </si>
  <si>
    <t>202_A</t>
  </si>
  <si>
    <t>251_A</t>
  </si>
  <si>
    <t>252_A</t>
  </si>
  <si>
    <t>301_A</t>
  </si>
  <si>
    <t>302_A</t>
  </si>
  <si>
    <t>003_B</t>
  </si>
  <si>
    <t>004_B</t>
  </si>
  <si>
    <t>053_B</t>
  </si>
  <si>
    <t>054_B</t>
  </si>
  <si>
    <t>103_B</t>
  </si>
  <si>
    <t>104_B</t>
  </si>
  <si>
    <t>153_B</t>
  </si>
  <si>
    <t>154_B</t>
  </si>
  <si>
    <t>203_B</t>
  </si>
  <si>
    <t>204_B</t>
  </si>
  <si>
    <t>253_B</t>
  </si>
  <si>
    <t>254_B</t>
  </si>
  <si>
    <t>303_B</t>
  </si>
  <si>
    <t>304_B</t>
  </si>
  <si>
    <t>005_C</t>
  </si>
  <si>
    <t>006_C</t>
  </si>
  <si>
    <t>055_C</t>
  </si>
  <si>
    <t>056_C</t>
  </si>
  <si>
    <t>105_C</t>
  </si>
  <si>
    <t>106_C</t>
  </si>
  <si>
    <t>155_C</t>
  </si>
  <si>
    <t>156_C</t>
  </si>
  <si>
    <t>205_C</t>
  </si>
  <si>
    <t>206_C</t>
  </si>
  <si>
    <t>255_C</t>
  </si>
  <si>
    <t>256_C</t>
  </si>
  <si>
    <t>305_C</t>
  </si>
  <si>
    <t>306_C</t>
  </si>
  <si>
    <t>007_D</t>
  </si>
  <si>
    <t>008_D</t>
  </si>
  <si>
    <t>057_D</t>
  </si>
  <si>
    <t>058_D</t>
  </si>
  <si>
    <t>107_D</t>
  </si>
  <si>
    <t>108_D</t>
  </si>
  <si>
    <t>157_D</t>
  </si>
  <si>
    <t>158_D</t>
  </si>
  <si>
    <t>207_D</t>
  </si>
  <si>
    <t>208_D</t>
  </si>
  <si>
    <t>257_D</t>
  </si>
  <si>
    <t>258_D</t>
  </si>
  <si>
    <t>307_D</t>
  </si>
  <si>
    <t>308_D</t>
  </si>
  <si>
    <t>009_U</t>
  </si>
  <si>
    <t>010_U</t>
  </si>
  <si>
    <t>011_U</t>
  </si>
  <si>
    <t>012_U</t>
  </si>
  <si>
    <t>013_U</t>
  </si>
  <si>
    <t>014_U</t>
  </si>
  <si>
    <t>015_U</t>
  </si>
  <si>
    <t>016_U</t>
  </si>
  <si>
    <t>017_U</t>
  </si>
  <si>
    <t>018_U</t>
  </si>
  <si>
    <t>020_U</t>
  </si>
  <si>
    <t>021_U</t>
  </si>
  <si>
    <t>022_U</t>
  </si>
  <si>
    <t>023_U</t>
  </si>
  <si>
    <t>024_U</t>
  </si>
  <si>
    <t>025_U</t>
  </si>
  <si>
    <t>026_U</t>
  </si>
  <si>
    <t>027_U</t>
  </si>
  <si>
    <t>028_U</t>
  </si>
  <si>
    <t>029_U</t>
  </si>
  <si>
    <t>030_U</t>
  </si>
  <si>
    <t>031_U</t>
  </si>
  <si>
    <t>032_U</t>
  </si>
  <si>
    <t>033_U</t>
  </si>
  <si>
    <t>034_U</t>
  </si>
  <si>
    <t>035_U</t>
  </si>
  <si>
    <t>036_U</t>
  </si>
  <si>
    <t>037_U</t>
  </si>
  <si>
    <t>038_U</t>
  </si>
  <si>
    <t>039_U</t>
  </si>
  <si>
    <t>040_U</t>
  </si>
  <si>
    <t>041_U</t>
  </si>
  <si>
    <t>042_U</t>
  </si>
  <si>
    <t>043_U</t>
  </si>
  <si>
    <t>044_U</t>
  </si>
  <si>
    <t>045_U</t>
  </si>
  <si>
    <t>046_U</t>
  </si>
  <si>
    <t>047_U</t>
  </si>
  <si>
    <t>048_U</t>
  </si>
  <si>
    <t>049_U</t>
  </si>
  <si>
    <t>050_U</t>
  </si>
  <si>
    <t>059_U</t>
  </si>
  <si>
    <t>060_U</t>
  </si>
  <si>
    <t>061_U</t>
  </si>
  <si>
    <t>062_U</t>
  </si>
  <si>
    <t>063_U</t>
  </si>
  <si>
    <t>064_U</t>
  </si>
  <si>
    <t>065_U</t>
  </si>
  <si>
    <t>066_U</t>
  </si>
  <si>
    <t>067_U</t>
  </si>
  <si>
    <t>068_U</t>
  </si>
  <si>
    <t>069_U</t>
  </si>
  <si>
    <t>070_U</t>
  </si>
  <si>
    <t>071_U</t>
  </si>
  <si>
    <t>072_U</t>
  </si>
  <si>
    <t>073_U</t>
  </si>
  <si>
    <t>074_U</t>
  </si>
  <si>
    <t>075_U</t>
  </si>
  <si>
    <t>076_U</t>
  </si>
  <si>
    <t>077_U</t>
  </si>
  <si>
    <t>078_U</t>
  </si>
  <si>
    <t>079_U</t>
  </si>
  <si>
    <t>080_U</t>
  </si>
  <si>
    <t>081_U</t>
  </si>
  <si>
    <t>082_U</t>
  </si>
  <si>
    <t>083_U</t>
  </si>
  <si>
    <t>084_U</t>
  </si>
  <si>
    <t>085_U</t>
  </si>
  <si>
    <t>086_U</t>
  </si>
  <si>
    <t>087_U</t>
  </si>
  <si>
    <t>088_U</t>
  </si>
  <si>
    <t>089_U</t>
  </si>
  <si>
    <t>090_U</t>
  </si>
  <si>
    <t>091_U</t>
  </si>
  <si>
    <t>092_U</t>
  </si>
  <si>
    <t>093_U</t>
  </si>
  <si>
    <t>094_U</t>
  </si>
  <si>
    <t>095_U</t>
  </si>
  <si>
    <t>096_U</t>
  </si>
  <si>
    <t>097_U</t>
  </si>
  <si>
    <t>098_U</t>
  </si>
  <si>
    <t>099_U</t>
  </si>
  <si>
    <t>100_U</t>
  </si>
  <si>
    <t>109_U</t>
  </si>
  <si>
    <t>110_U</t>
  </si>
  <si>
    <t>111_U</t>
  </si>
  <si>
    <t>112_U</t>
  </si>
  <si>
    <t>113_U</t>
  </si>
  <si>
    <t>114_U</t>
  </si>
  <si>
    <t>115_U</t>
  </si>
  <si>
    <t>116_U</t>
  </si>
  <si>
    <t>117_U</t>
  </si>
  <si>
    <t>118_U</t>
  </si>
  <si>
    <t>119_U</t>
  </si>
  <si>
    <t>120_U</t>
  </si>
  <si>
    <t>121_U</t>
  </si>
  <si>
    <t>122_U</t>
  </si>
  <si>
    <t>123_U</t>
  </si>
  <si>
    <t>124_U</t>
  </si>
  <si>
    <t>125_U</t>
  </si>
  <si>
    <t>126_U</t>
  </si>
  <si>
    <t>127_U</t>
  </si>
  <si>
    <t>128_U</t>
  </si>
  <si>
    <t>129_U</t>
  </si>
  <si>
    <t>130_U</t>
  </si>
  <si>
    <t>131_U</t>
  </si>
  <si>
    <t>132_U</t>
  </si>
  <si>
    <t>133_U</t>
  </si>
  <si>
    <t>134_U</t>
  </si>
  <si>
    <t>135_U</t>
  </si>
  <si>
    <t>136_U</t>
  </si>
  <si>
    <t>137_U</t>
  </si>
  <si>
    <t>138_U</t>
  </si>
  <si>
    <t>139_U</t>
  </si>
  <si>
    <t>140_U</t>
  </si>
  <si>
    <t>141_U</t>
  </si>
  <si>
    <t>142_U</t>
  </si>
  <si>
    <t>143_U</t>
  </si>
  <si>
    <t>144_U</t>
  </si>
  <si>
    <t>145_U</t>
  </si>
  <si>
    <t>146_U</t>
  </si>
  <si>
    <t>147_U</t>
  </si>
  <si>
    <t>148_U</t>
  </si>
  <si>
    <t>149_U</t>
  </si>
  <si>
    <t>150_U</t>
  </si>
  <si>
    <t>159_U</t>
  </si>
  <si>
    <t>160_U</t>
  </si>
  <si>
    <t>161_U</t>
  </si>
  <si>
    <t>162_U</t>
  </si>
  <si>
    <t>163_U</t>
  </si>
  <si>
    <t>164_U</t>
  </si>
  <si>
    <t>165_U</t>
  </si>
  <si>
    <t>166_U</t>
  </si>
  <si>
    <t>167_U</t>
  </si>
  <si>
    <t>168_U</t>
  </si>
  <si>
    <t>169_U</t>
  </si>
  <si>
    <t>170_U</t>
  </si>
  <si>
    <t>171_U</t>
  </si>
  <si>
    <t>172_U</t>
  </si>
  <si>
    <t>173_U</t>
  </si>
  <si>
    <t>174_U</t>
  </si>
  <si>
    <t>175_U</t>
  </si>
  <si>
    <t>176_U</t>
  </si>
  <si>
    <t>177_U</t>
  </si>
  <si>
    <t>178_U</t>
  </si>
  <si>
    <t>179_U</t>
  </si>
  <si>
    <t>180_U</t>
  </si>
  <si>
    <t>181_U</t>
  </si>
  <si>
    <t>182_U</t>
  </si>
  <si>
    <t>183_U</t>
  </si>
  <si>
    <t>184_U</t>
  </si>
  <si>
    <t>185_U</t>
  </si>
  <si>
    <t>186_U</t>
  </si>
  <si>
    <t>187_U</t>
  </si>
  <si>
    <t>188_U</t>
  </si>
  <si>
    <t>189_U</t>
  </si>
  <si>
    <t>190_U</t>
  </si>
  <si>
    <t>191_U</t>
  </si>
  <si>
    <t>192_U</t>
  </si>
  <si>
    <t>193_U</t>
  </si>
  <si>
    <t>194_U</t>
  </si>
  <si>
    <t>195_U</t>
  </si>
  <si>
    <t>196_U</t>
  </si>
  <si>
    <t>197_U</t>
  </si>
  <si>
    <t>198_U</t>
  </si>
  <si>
    <t>199_U</t>
  </si>
  <si>
    <t>200_U</t>
  </si>
  <si>
    <t>209_U</t>
  </si>
  <si>
    <t>210_U</t>
  </si>
  <si>
    <t>211_U</t>
  </si>
  <si>
    <t>212_U</t>
  </si>
  <si>
    <t>213_U</t>
  </si>
  <si>
    <t>214_U</t>
  </si>
  <si>
    <t>215_U</t>
  </si>
  <si>
    <t>216_U</t>
  </si>
  <si>
    <t>217_U</t>
  </si>
  <si>
    <t>218_U</t>
  </si>
  <si>
    <t>219_U</t>
  </si>
  <si>
    <t>220_U</t>
  </si>
  <si>
    <t>221_U</t>
  </si>
  <si>
    <t>222_U</t>
  </si>
  <si>
    <t>223_U</t>
  </si>
  <si>
    <t>224_U</t>
  </si>
  <si>
    <t>225_U</t>
  </si>
  <si>
    <t>226_U</t>
  </si>
  <si>
    <t>227_U</t>
  </si>
  <si>
    <t>228_U</t>
  </si>
  <si>
    <t>229_U</t>
  </si>
  <si>
    <t>230_U</t>
  </si>
  <si>
    <t>231_U</t>
  </si>
  <si>
    <t>232_U</t>
  </si>
  <si>
    <t>233_U</t>
  </si>
  <si>
    <t>234_U</t>
  </si>
  <si>
    <t>235_U</t>
  </si>
  <si>
    <t>236_U</t>
  </si>
  <si>
    <t>237_U</t>
  </si>
  <si>
    <t>238_U</t>
  </si>
  <si>
    <t>239_U</t>
  </si>
  <si>
    <t>240_U</t>
  </si>
  <si>
    <t>241_U</t>
  </si>
  <si>
    <t>242_U</t>
  </si>
  <si>
    <t>243_U</t>
  </si>
  <si>
    <t>244_U</t>
  </si>
  <si>
    <t>245_U</t>
  </si>
  <si>
    <t>246_U</t>
  </si>
  <si>
    <t>247_U</t>
  </si>
  <si>
    <t>248_U</t>
  </si>
  <si>
    <t>249_U</t>
  </si>
  <si>
    <t>250_U</t>
  </si>
  <si>
    <t>259_U</t>
  </si>
  <si>
    <t>260_U</t>
  </si>
  <si>
    <t>261_U</t>
  </si>
  <si>
    <t>262_U</t>
  </si>
  <si>
    <t>263_U</t>
  </si>
  <si>
    <t>264_U</t>
  </si>
  <si>
    <t>265_U</t>
  </si>
  <si>
    <t>266_U</t>
  </si>
  <si>
    <t>267_U</t>
  </si>
  <si>
    <t>268_U</t>
  </si>
  <si>
    <t>269_U</t>
  </si>
  <si>
    <t>270_U</t>
  </si>
  <si>
    <t>271_U</t>
  </si>
  <si>
    <t>272_U</t>
  </si>
  <si>
    <t>273_U</t>
  </si>
  <si>
    <t>274_U</t>
  </si>
  <si>
    <t>275_U</t>
  </si>
  <si>
    <t>276_U</t>
  </si>
  <si>
    <t>277_U</t>
  </si>
  <si>
    <t>278_U</t>
  </si>
  <si>
    <t>279_U</t>
  </si>
  <si>
    <t>280_U</t>
  </si>
  <si>
    <t>281_U</t>
  </si>
  <si>
    <t>282_U</t>
  </si>
  <si>
    <t>283_U</t>
  </si>
  <si>
    <t>284_U</t>
  </si>
  <si>
    <t>285_U</t>
  </si>
  <si>
    <t>286_U</t>
  </si>
  <si>
    <t>287_U</t>
  </si>
  <si>
    <t>288_U</t>
  </si>
  <si>
    <t>289_U</t>
  </si>
  <si>
    <t>290_U</t>
  </si>
  <si>
    <t>291_U</t>
  </si>
  <si>
    <t>292_U</t>
  </si>
  <si>
    <t>293_U</t>
  </si>
  <si>
    <t>294_U</t>
  </si>
  <si>
    <t>295_U</t>
  </si>
  <si>
    <t>296_U</t>
  </si>
  <si>
    <t>297_U</t>
  </si>
  <si>
    <t>298_U</t>
  </si>
  <si>
    <t>299_U</t>
  </si>
  <si>
    <t>300_U</t>
  </si>
  <si>
    <t>309_U</t>
  </si>
  <si>
    <t>310_U</t>
  </si>
  <si>
    <t>311_U</t>
  </si>
  <si>
    <t>NIST612 gl</t>
  </si>
  <si>
    <t>NIST612 np</t>
  </si>
  <si>
    <t>B5</t>
  </si>
  <si>
    <t>Agate</t>
  </si>
  <si>
    <t>Corundum</t>
  </si>
  <si>
    <t>PCC1</t>
  </si>
  <si>
    <t>W2</t>
  </si>
  <si>
    <t>JG-1a</t>
  </si>
  <si>
    <t>BHVO1</t>
  </si>
  <si>
    <t>JA2</t>
  </si>
  <si>
    <t>JB2</t>
  </si>
  <si>
    <t>B6</t>
  </si>
  <si>
    <t>silicon nitride</t>
  </si>
  <si>
    <t>Date: 30/11/2022</t>
  </si>
  <si>
    <t>Analysis date: 30/11/2022</t>
  </si>
  <si>
    <t>019_U</t>
  </si>
  <si>
    <t>satuated</t>
  </si>
  <si>
    <t>JP-1</t>
  </si>
  <si>
    <t>JG-2</t>
  </si>
  <si>
    <t>BCR-1</t>
  </si>
  <si>
    <t>4.5°5.7</t>
  </si>
  <si>
    <t>bhvo-1</t>
  </si>
  <si>
    <t>2.5°3</t>
  </si>
  <si>
    <t>b7</t>
  </si>
  <si>
    <t>b5</t>
  </si>
  <si>
    <t>181(182)</t>
  </si>
  <si>
    <t>237</t>
  </si>
  <si>
    <t>259</t>
  </si>
  <si>
    <t>Filename: C:\Neptune\User\NeptuneP\Data\AXEL\B isotopes\2022-11-29 B Std JX AG splitstream_20221129-214242\259_U.dat</t>
  </si>
  <si>
    <t>Run number: 259</t>
  </si>
  <si>
    <t>Analysis time: 03:33:43</t>
  </si>
  <si>
    <t>03:34:17:347</t>
  </si>
  <si>
    <t>03:34:17:612</t>
  </si>
  <si>
    <t>03:34:17:878</t>
  </si>
  <si>
    <t>03:34:18:144</t>
  </si>
  <si>
    <t>03:34:18:410</t>
  </si>
  <si>
    <t>03:34:18:676</t>
  </si>
  <si>
    <t>03:34:18:942</t>
  </si>
  <si>
    <t>03:34:19:207</t>
  </si>
  <si>
    <t>03:34:19:473</t>
  </si>
  <si>
    <t>03:34:19:739</t>
  </si>
  <si>
    <t>03:34:20:006</t>
  </si>
  <si>
    <t>03:34:20:272</t>
  </si>
  <si>
    <t>03:34:20:538</t>
  </si>
  <si>
    <t>03:34:20:804</t>
  </si>
  <si>
    <t>03:34:21:069</t>
  </si>
  <si>
    <t>03:34:21:335</t>
  </si>
  <si>
    <t>03:34:21:601</t>
  </si>
  <si>
    <t>03:34:21:867</t>
  </si>
  <si>
    <t>03:34:22:133</t>
  </si>
  <si>
    <t>03:34:22:398</t>
  </si>
  <si>
    <t>03:34:22:664</t>
  </si>
  <si>
    <t>03:34:22:930</t>
  </si>
  <si>
    <t>03:34:23:197</t>
  </si>
  <si>
    <t>03:34:23:463</t>
  </si>
  <si>
    <t>03:34:23:729</t>
  </si>
  <si>
    <t>03:34:23:995</t>
  </si>
  <si>
    <t>03:34:24:260</t>
  </si>
  <si>
    <t>03:34:24:526</t>
  </si>
  <si>
    <t>03:34:24:792</t>
  </si>
  <si>
    <t>03:34:25:059</t>
  </si>
  <si>
    <t>03:34:25:324</t>
  </si>
  <si>
    <t>03:34:25:590</t>
  </si>
  <si>
    <t>03:34:25:855</t>
  </si>
  <si>
    <t>03:34:26:121</t>
  </si>
  <si>
    <t>03:34:26:388</t>
  </si>
  <si>
    <t>03:34:26:654</t>
  </si>
  <si>
    <t>03:34:26:920</t>
  </si>
  <si>
    <t>03:34:27:186</t>
  </si>
  <si>
    <t>03:34:27:452</t>
  </si>
  <si>
    <t>03:34:27:717</t>
  </si>
  <si>
    <t>03:34:27:983</t>
  </si>
  <si>
    <t>03:34:28:250</t>
  </si>
  <si>
    <t>03:34:28:516</t>
  </si>
  <si>
    <t>03:34:28:781</t>
  </si>
  <si>
    <t>03:34:29:046</t>
  </si>
  <si>
    <t>03:34:29:314</t>
  </si>
  <si>
    <t>03:34:29:579</t>
  </si>
  <si>
    <t>03:34:29:845</t>
  </si>
  <si>
    <t>03:34:30:111</t>
  </si>
  <si>
    <t>03:34:30:378</t>
  </si>
  <si>
    <t>03:34:30:643</t>
  </si>
  <si>
    <t>03:34:30:908</t>
  </si>
  <si>
    <t>03:34:31:174</t>
  </si>
  <si>
    <t>03:34:31:440</t>
  </si>
  <si>
    <t>03:34:31:707</t>
  </si>
  <si>
    <t>03:34:31:973</t>
  </si>
  <si>
    <t>03:34:32:239</t>
  </si>
  <si>
    <t>03:34:32:505</t>
  </si>
  <si>
    <t>03:34:32:769</t>
  </si>
  <si>
    <t>03:34:33:036</t>
  </si>
  <si>
    <t>03:34:33:302</t>
  </si>
  <si>
    <t>03:34:33:568</t>
  </si>
  <si>
    <t>03:34:33:834</t>
  </si>
  <si>
    <t>03:34:34:100</t>
  </si>
  <si>
    <t>03:34:34:365</t>
  </si>
  <si>
    <t>03:34:34:631</t>
  </si>
  <si>
    <t>03:34:34:897</t>
  </si>
  <si>
    <t>03:34:35:163</t>
  </si>
  <si>
    <t>03:34:35:429</t>
  </si>
  <si>
    <t>03:34:35:694</t>
  </si>
  <si>
    <t>03:34:35:960</t>
  </si>
  <si>
    <t>03:34:36:226</t>
  </si>
  <si>
    <t>03:34:36:492</t>
  </si>
  <si>
    <t>03:34:36:758</t>
  </si>
  <si>
    <t>03:34:37:023</t>
  </si>
  <si>
    <t>03:34:37:289</t>
  </si>
  <si>
    <t>03:34:37:555</t>
  </si>
  <si>
    <t>03:34:37:822</t>
  </si>
  <si>
    <t>03:34:38:088</t>
  </si>
  <si>
    <t>03:34:38:354</t>
  </si>
  <si>
    <t>03:34:38:620</t>
  </si>
  <si>
    <t>03:34:38:885</t>
  </si>
  <si>
    <t>03:34:39:151</t>
  </si>
  <si>
    <t>03:34:39:417</t>
  </si>
  <si>
    <t>03:34:39:683</t>
  </si>
  <si>
    <t>03:34:39:949</t>
  </si>
  <si>
    <t>03:34:40:215</t>
  </si>
  <si>
    <t>03:34:40:480</t>
  </si>
  <si>
    <t>03:34:40:746</t>
  </si>
  <si>
    <t>03:34:41:012</t>
  </si>
  <si>
    <t>03:34:41:278</t>
  </si>
  <si>
    <t>03:34:41:544</t>
  </si>
  <si>
    <t>03:34:41:811</t>
  </si>
  <si>
    <t>03:34:42:077</t>
  </si>
  <si>
    <t>03:34:42:342</t>
  </si>
  <si>
    <t>03:34:42:608</t>
  </si>
  <si>
    <t>03:34:42:875</t>
  </si>
  <si>
    <t>03:34:43:140</t>
  </si>
  <si>
    <t>03:34:43:406</t>
  </si>
  <si>
    <t>03:34:43:671</t>
  </si>
  <si>
    <t>03:34:43:937</t>
  </si>
  <si>
    <t>03:34:44:203</t>
  </si>
  <si>
    <t>03:34:44:470</t>
  </si>
  <si>
    <t>03:34:44:736</t>
  </si>
  <si>
    <t>03:34:45:002</t>
  </si>
  <si>
    <t>03:34:45:268</t>
  </si>
  <si>
    <t>03:34:45:533</t>
  </si>
  <si>
    <t>03:34:45:799</t>
  </si>
  <si>
    <t>03:34:46:065</t>
  </si>
  <si>
    <t>03:34:46:331</t>
  </si>
  <si>
    <t>03:34:46:595</t>
  </si>
  <si>
    <t>03:34:46:861</t>
  </si>
  <si>
    <t>03:34:47:128</t>
  </si>
  <si>
    <t>03:34:47:394</t>
  </si>
  <si>
    <t>03:34:47:660</t>
  </si>
  <si>
    <t>03:34:47:926</t>
  </si>
  <si>
    <t>03:34:48:193</t>
  </si>
  <si>
    <t>03:34:48:459</t>
  </si>
  <si>
    <t>03:34:48:725</t>
  </si>
  <si>
    <t>03:34:48:990</t>
  </si>
  <si>
    <t>03:34:49:256</t>
  </si>
  <si>
    <t>03:34:49:523</t>
  </si>
  <si>
    <t>03:34:49:789</t>
  </si>
  <si>
    <t>03:34:50:055</t>
  </si>
  <si>
    <t>03:34:50:319</t>
  </si>
  <si>
    <t>03:34:50:585</t>
  </si>
  <si>
    <t>03:34:50:851</t>
  </si>
  <si>
    <t>03:34:51:117</t>
  </si>
  <si>
    <t>03:34:51:383</t>
  </si>
  <si>
    <t>03:34:51:648</t>
  </si>
  <si>
    <t>03:34:51:914</t>
  </si>
  <si>
    <t>03:34:52:180</t>
  </si>
  <si>
    <t>03:34:52:446</t>
  </si>
  <si>
    <t>03:34:52:712</t>
  </si>
  <si>
    <t>03:34:52:977</t>
  </si>
  <si>
    <t>03:34:53:243</t>
  </si>
  <si>
    <t>03:34:53:509</t>
  </si>
  <si>
    <t>03:34:53:775</t>
  </si>
  <si>
    <t>03:34:54:041</t>
  </si>
  <si>
    <t>03:34:54:306</t>
  </si>
  <si>
    <t>03:34:54:572</t>
  </si>
  <si>
    <t>03:34:54:838</t>
  </si>
  <si>
    <t>03:34:55:105</t>
  </si>
  <si>
    <t>03:34:55:371</t>
  </si>
  <si>
    <t>03:34:55:637</t>
  </si>
  <si>
    <t>03:34:55:903</t>
  </si>
  <si>
    <t>03:34:56:169</t>
  </si>
  <si>
    <t>03:34:56:434</t>
  </si>
  <si>
    <t>03:34:56:700</t>
  </si>
  <si>
    <t>03:34:56:966</t>
  </si>
  <si>
    <t>03:34:57:230</t>
  </si>
  <si>
    <t>03:34:57:498</t>
  </si>
  <si>
    <t>03:34:57:763</t>
  </si>
  <si>
    <t>03:34:58:029</t>
  </si>
  <si>
    <t>03:34:58:295</t>
  </si>
  <si>
    <t>03:34:58:561</t>
  </si>
  <si>
    <t>03:34:58:827</t>
  </si>
  <si>
    <t>03:34:59:092</t>
  </si>
  <si>
    <t>03:34:59:358</t>
  </si>
  <si>
    <t>03:34:59:624</t>
  </si>
  <si>
    <t>03:34:59:890</t>
  </si>
  <si>
    <t>03:35:00:156</t>
  </si>
  <si>
    <t>03:35:00:421</t>
  </si>
  <si>
    <t>03:35:00:687</t>
  </si>
  <si>
    <t>03:35:00:953</t>
  </si>
  <si>
    <t>03:35:01:219</t>
  </si>
  <si>
    <t>03:35:01:485</t>
  </si>
  <si>
    <t>03:35:01:750</t>
  </si>
  <si>
    <t>03:35:02:016</t>
  </si>
  <si>
    <t>X6.0055230906453929e+004</t>
  </si>
  <si>
    <t>03:35:02:282</t>
  </si>
  <si>
    <t>03:35:02:546</t>
  </si>
  <si>
    <t>03:35:02:812</t>
  </si>
  <si>
    <t>03:35:03:078</t>
  </si>
  <si>
    <t>03:35:03:345</t>
  </si>
  <si>
    <t>03:35:03:610</t>
  </si>
  <si>
    <t>03:35:03:877</t>
  </si>
  <si>
    <t>03:35:04:143</t>
  </si>
  <si>
    <t>03:35:04:408</t>
  </si>
  <si>
    <t>03:35:04:674</t>
  </si>
  <si>
    <t>03:35:04:940</t>
  </si>
  <si>
    <t>03:35:05:207</t>
  </si>
  <si>
    <t>03:35:05:473</t>
  </si>
  <si>
    <t>PCC-1</t>
  </si>
  <si>
    <t>W-2</t>
  </si>
  <si>
    <t>BHVO-1</t>
  </si>
  <si>
    <t>JA-2</t>
  </si>
  <si>
    <t>JB-2</t>
  </si>
  <si>
    <t>BIR-1G</t>
  </si>
  <si>
    <t>BCR-1G</t>
  </si>
  <si>
    <t>BHVO-2G</t>
  </si>
  <si>
    <t>Samplename</t>
  </si>
  <si>
    <t>δ11B_SE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</si>
</sst>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000"/>
    <numFmt numFmtId="165" formatCode="0.000"/>
    <numFmt numFmtId="166" formatCode="0.0"/>
    <numFmt numFmtId="167" formatCode="0.00000"/>
    <numFmt numFmtId="168" formatCode="0.00000000"/>
    <numFmt numFmtId="169" formatCode="0.0E+00"/>
    <numFmt numFmtId="170" formatCode="0.000000"/>
    <numFmt numFmtId="171" formatCode="0.0%"/>
    <numFmt numFmtId="172" formatCode="[&gt;=10]0;[&lt;-10]\-0;0.0"/>
    <numFmt numFmtId="173" formatCode="[&gt;=10]0.0;[&lt;0]\-0.0;0.00"/>
    <numFmt numFmtId="174" formatCode="0.00.E+00"/>
    <numFmt numFmtId="175" formatCode="0.E+00"/>
  </numFmts>
  <fonts count="85"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1"/>
      <name val="Arial"/>
      <family val="2"/>
    </font>
    <font>
      <b/>
      <sz val="12"/>
      <name val="Arial"/>
      <family val="2"/>
    </font>
    <font>
      <b/>
      <sz val="11"/>
      <name val="Arial"/>
      <family val="2"/>
    </font>
    <font>
      <b/>
      <sz val="10"/>
      <color indexed="56"/>
      <name val="Arial"/>
      <family val="2"/>
    </font>
    <font>
      <sz val="10"/>
      <color rgb="FFFF0000"/>
      <name val="Arial"/>
      <family val="2"/>
    </font>
    <font>
      <b/>
      <sz val="10"/>
      <color rgb="FFFF0000"/>
      <name val="Arial"/>
      <family val="2"/>
    </font>
    <font>
      <b/>
      <sz val="14"/>
      <name val="Arial"/>
      <family val="2"/>
    </font>
    <font>
      <b/>
      <u/>
      <sz val="10"/>
      <name val="Arial"/>
      <family val="2"/>
    </font>
    <font>
      <sz val="12"/>
      <name val="Arial"/>
      <family val="2"/>
    </font>
    <font>
      <b/>
      <sz val="10"/>
      <color indexed="10"/>
      <name val="Arial"/>
      <family val="2"/>
    </font>
    <font>
      <b/>
      <sz val="11.5"/>
      <name val="Arial"/>
      <family val="2"/>
    </font>
    <font>
      <b/>
      <sz val="13"/>
      <color rgb="FF002060"/>
      <name val="Arial"/>
      <family val="2"/>
    </font>
    <font>
      <b/>
      <sz val="12"/>
      <color rgb="FF002060"/>
      <name val="Arial"/>
      <family val="2"/>
    </font>
    <font>
      <sz val="13"/>
      <color rgb="FF002060"/>
      <name val="Arial"/>
      <family val="2"/>
    </font>
    <font>
      <b/>
      <sz val="9"/>
      <color indexed="81"/>
      <name val="Tahoma"/>
      <family val="2"/>
    </font>
    <font>
      <vertAlign val="superscript"/>
      <sz val="10"/>
      <name val="Arial"/>
      <family val="2"/>
    </font>
    <font>
      <u/>
      <sz val="10"/>
      <name val="Arial"/>
      <family val="2"/>
    </font>
    <font>
      <u/>
      <vertAlign val="superscript"/>
      <sz val="10"/>
      <name val="Arial"/>
      <family val="2"/>
    </font>
    <font>
      <sz val="10"/>
      <name val="Symbol"/>
      <family val="1"/>
      <charset val="2"/>
    </font>
    <font>
      <vertAlign val="subscript"/>
      <sz val="10"/>
      <name val="Arial"/>
      <family val="2"/>
    </font>
    <font>
      <b/>
      <u/>
      <sz val="14"/>
      <name val="Arial"/>
      <family val="2"/>
    </font>
    <font>
      <sz val="10"/>
      <name val="Calibri"/>
      <family val="2"/>
    </font>
    <font>
      <b/>
      <sz val="12"/>
      <color indexed="9"/>
      <name val="Arial"/>
      <family val="2"/>
    </font>
    <font>
      <sz val="10"/>
      <name val="Times New Roman"/>
      <family val="1"/>
    </font>
    <font>
      <u/>
      <sz val="14"/>
      <color rgb="FF000000"/>
      <name val="Arial"/>
      <family val="2"/>
    </font>
    <font>
      <b/>
      <sz val="12"/>
      <color rgb="FF000000"/>
      <name val="Times New Roman"/>
      <family val="1"/>
    </font>
    <font>
      <sz val="12"/>
      <color rgb="FF000000"/>
      <name val="Times New Roman"/>
      <family val="1"/>
    </font>
    <font>
      <vertAlign val="superscript"/>
      <sz val="12"/>
      <color rgb="FF000000"/>
      <name val="Times New Roman"/>
      <family val="1"/>
    </font>
    <font>
      <sz val="12"/>
      <color rgb="FF000000"/>
      <name val="Symbol"/>
      <family val="1"/>
      <charset val="2"/>
    </font>
    <font>
      <b/>
      <u/>
      <sz val="12"/>
      <name val="Arial"/>
      <family val="2"/>
    </font>
    <font>
      <b/>
      <sz val="12"/>
      <name val="Arial Black"/>
      <family val="2"/>
    </font>
    <font>
      <b/>
      <sz val="10"/>
      <color rgb="FF00B050"/>
      <name val="Arial"/>
      <family val="2"/>
    </font>
    <font>
      <b/>
      <vertAlign val="subscrip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Arial"/>
      <family val="2"/>
    </font>
    <font>
      <vertAlign val="superscript"/>
      <sz val="12"/>
      <name val="Arial"/>
      <family val="2"/>
    </font>
    <font>
      <b/>
      <sz val="12"/>
      <color theme="0" tint="-0.499984740745262"/>
      <name val="Arial"/>
      <family val="2"/>
    </font>
    <font>
      <b/>
      <sz val="14"/>
      <name val="Cambria"/>
      <family val="1"/>
      <scheme val="major"/>
    </font>
    <font>
      <b/>
      <sz val="10"/>
      <color rgb="FF7030A0"/>
      <name val="Arial"/>
      <family val="2"/>
    </font>
    <font>
      <sz val="10"/>
      <color rgb="FF7030A0"/>
      <name val="Cambria"/>
      <family val="1"/>
      <scheme val="major"/>
    </font>
    <font>
      <sz val="12"/>
      <color indexed="81"/>
      <name val="Arial"/>
      <family val="2"/>
    </font>
    <font>
      <vertAlign val="superscript"/>
      <sz val="12"/>
      <color indexed="81"/>
      <name val="Arial"/>
      <family val="2"/>
    </font>
    <font>
      <b/>
      <sz val="12"/>
      <color indexed="81"/>
      <name val="Arial"/>
      <family val="2"/>
    </font>
    <font>
      <b/>
      <u/>
      <sz val="12"/>
      <color indexed="81"/>
      <name val="Arial"/>
      <family val="2"/>
    </font>
    <font>
      <sz val="10"/>
      <color rgb="FF00B0F0"/>
      <name val="Arial"/>
      <family val="2"/>
    </font>
    <font>
      <i/>
      <sz val="12"/>
      <color indexed="81"/>
      <name val="Arial"/>
      <family val="2"/>
    </font>
    <font>
      <b/>
      <sz val="12"/>
      <name val="Cambria"/>
      <family val="1"/>
      <scheme val="major"/>
    </font>
    <font>
      <b/>
      <u/>
      <sz val="10"/>
      <color indexed="56"/>
      <name val="Arial"/>
      <family val="2"/>
    </font>
    <font>
      <b/>
      <sz val="10"/>
      <name val="Calibri"/>
      <family val="2"/>
    </font>
    <font>
      <b/>
      <vertAlign val="superscript"/>
      <sz val="10"/>
      <name val="Arial"/>
      <family val="2"/>
    </font>
    <font>
      <b/>
      <sz val="12"/>
      <color indexed="81"/>
      <name val="Tahoma"/>
      <family val="2"/>
    </font>
    <font>
      <sz val="12"/>
      <color indexed="81"/>
      <name val="Tahoma"/>
      <family val="2"/>
    </font>
    <font>
      <b/>
      <sz val="11"/>
      <color rgb="FF00B0F0"/>
      <name val="Calibri"/>
      <family val="2"/>
      <scheme val="minor"/>
    </font>
    <font>
      <b/>
      <sz val="11"/>
      <color rgb="FF00B050"/>
      <name val="Calibri"/>
      <family val="2"/>
      <scheme val="minor"/>
    </font>
    <font>
      <b/>
      <sz val="11"/>
      <color rgb="FFFF0000"/>
      <name val="Calibri"/>
      <family val="2"/>
      <scheme val="minor"/>
    </font>
    <font>
      <b/>
      <sz val="10"/>
      <color rgb="FF0070C0"/>
      <name val="Arial"/>
      <family val="2"/>
    </font>
    <font>
      <b/>
      <sz val="11"/>
      <color rgb="FF0070C0"/>
      <name val="Calibri"/>
      <family val="2"/>
      <scheme val="minor"/>
    </font>
    <font>
      <b/>
      <sz val="11"/>
      <name val="Calibri"/>
      <family val="2"/>
      <scheme val="minor"/>
    </font>
    <font>
      <sz val="10"/>
      <name val="Arial"/>
      <family val="1"/>
      <charset val="2"/>
    </font>
    <font>
      <b/>
      <sz val="14"/>
      <color theme="1"/>
      <name val="Arial"/>
      <family val="2"/>
    </font>
    <font>
      <u/>
      <sz val="10"/>
      <color indexed="10"/>
      <name val="Arial"/>
      <family val="2"/>
    </font>
  </fonts>
  <fills count="65">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0"/>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11"/>
        <bgColor indexed="64"/>
      </patternFill>
    </fill>
    <fill>
      <patternFill patternType="solid">
        <fgColor indexed="41"/>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indexed="40"/>
        <bgColor indexed="64"/>
      </patternFill>
    </fill>
    <fill>
      <patternFill patternType="solid">
        <fgColor theme="4" tint="0.79998168889431442"/>
        <bgColor indexed="64"/>
      </patternFill>
    </fill>
    <fill>
      <patternFill patternType="solid">
        <fgColor rgb="FF00B0F0"/>
        <bgColor indexed="64"/>
      </patternFill>
    </fill>
    <fill>
      <patternFill patternType="solid">
        <fgColor theme="8" tint="0.59999389629810485"/>
        <bgColor indexed="64"/>
      </patternFill>
    </fill>
    <fill>
      <patternFill patternType="solid">
        <fgColor rgb="FFCCFFCC"/>
        <bgColor indexed="64"/>
      </patternFill>
    </fill>
    <fill>
      <patternFill patternType="solid">
        <fgColor rgb="FFFFFFCC"/>
        <bgColor indexed="64"/>
      </patternFill>
    </fill>
    <fill>
      <patternFill patternType="solid">
        <fgColor rgb="FFC0C0C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85DFFF"/>
        <bgColor indexed="64"/>
      </patternFill>
    </fill>
    <fill>
      <patternFill patternType="solid">
        <fgColor theme="9" tint="0.79998168889431442"/>
        <bgColor indexed="64"/>
      </patternFill>
    </fill>
    <fill>
      <patternFill patternType="solid">
        <fgColor rgb="FF92D05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rgb="FF00B050"/>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FF66"/>
        <bgColor indexed="64"/>
      </patternFill>
    </fill>
    <fill>
      <patternFill patternType="solid">
        <fgColor theme="5"/>
        <bgColor indexed="64"/>
      </patternFill>
    </fill>
    <fill>
      <patternFill patternType="solid">
        <fgColor theme="6"/>
        <bgColor indexed="64"/>
      </patternFill>
    </fill>
  </fills>
  <borders count="51">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top/>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931">
    <xf numFmtId="0" fontId="0" fillId="0" borderId="0"/>
    <xf numFmtId="9" fontId="7" fillId="0" borderId="0" applyFont="0" applyFill="0" applyBorder="0" applyAlignment="0" applyProtection="0"/>
    <xf numFmtId="0" fontId="7" fillId="0" borderId="0"/>
    <xf numFmtId="0" fontId="7" fillId="0" borderId="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2" borderId="1" applyNumberFormat="0" applyFont="0" applyAlignment="0" applyProtection="0"/>
    <xf numFmtId="0" fontId="6" fillId="2" borderId="1" applyNumberFormat="0" applyFont="0" applyAlignment="0" applyProtection="0"/>
    <xf numFmtId="0" fontId="6" fillId="2" borderId="1" applyNumberFormat="0" applyFont="0" applyAlignment="0" applyProtection="0"/>
    <xf numFmtId="0" fontId="6" fillId="2" borderId="1" applyNumberFormat="0" applyFont="0" applyAlignment="0" applyProtection="0"/>
    <xf numFmtId="0" fontId="6" fillId="2" borderId="1" applyNumberFormat="0" applyFont="0" applyAlignment="0" applyProtection="0"/>
    <xf numFmtId="0" fontId="6" fillId="2" borderId="1" applyNumberFormat="0" applyFont="0" applyAlignment="0" applyProtection="0"/>
    <xf numFmtId="0" fontId="6" fillId="2" borderId="1" applyNumberFormat="0" applyFont="0" applyAlignment="0" applyProtection="0"/>
    <xf numFmtId="0" fontId="6" fillId="2" borderId="1" applyNumberFormat="0" applyFont="0" applyAlignment="0" applyProtection="0"/>
    <xf numFmtId="9" fontId="7" fillId="0" borderId="0" applyFont="0" applyFill="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5"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42" fillId="0" borderId="0" applyNumberFormat="0" applyFill="0" applyBorder="0" applyAlignment="0" applyProtection="0"/>
    <xf numFmtId="0" fontId="43" fillId="0" borderId="26" applyNumberFormat="0" applyFill="0" applyAlignment="0" applyProtection="0"/>
    <xf numFmtId="0" fontId="44" fillId="0" borderId="27" applyNumberFormat="0" applyFill="0" applyAlignment="0" applyProtection="0"/>
    <xf numFmtId="0" fontId="45" fillId="0" borderId="28" applyNumberFormat="0" applyFill="0" applyAlignment="0" applyProtection="0"/>
    <xf numFmtId="0" fontId="45" fillId="0" borderId="0" applyNumberFormat="0" applyFill="0" applyBorder="0" applyAlignment="0" applyProtection="0"/>
    <xf numFmtId="0" fontId="46" fillId="33" borderId="0" applyNumberFormat="0" applyBorder="0" applyAlignment="0" applyProtection="0"/>
    <xf numFmtId="0" fontId="47" fillId="34" borderId="0" applyNumberFormat="0" applyBorder="0" applyAlignment="0" applyProtection="0"/>
    <xf numFmtId="0" fontId="48" fillId="35" borderId="0" applyNumberFormat="0" applyBorder="0" applyAlignment="0" applyProtection="0"/>
    <xf numFmtId="0" fontId="49" fillId="36" borderId="29" applyNumberFormat="0" applyAlignment="0" applyProtection="0"/>
    <xf numFmtId="0" fontId="50" fillId="37" borderId="30" applyNumberFormat="0" applyAlignment="0" applyProtection="0"/>
    <xf numFmtId="0" fontId="51" fillId="37" borderId="29" applyNumberFormat="0" applyAlignment="0" applyProtection="0"/>
    <xf numFmtId="0" fontId="52" fillId="0" borderId="31" applyNumberFormat="0" applyFill="0" applyAlignment="0" applyProtection="0"/>
    <xf numFmtId="0" fontId="53" fillId="38" borderId="32" applyNumberFormat="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33" applyNumberFormat="0" applyFill="0" applyAlignment="0" applyProtection="0"/>
    <xf numFmtId="0" fontId="57" fillId="39"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57" fillId="40" borderId="0" applyNumberFormat="0" applyBorder="0" applyAlignment="0" applyProtection="0"/>
    <xf numFmtId="0" fontId="57" fillId="41"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57" fillId="42" borderId="0" applyNumberFormat="0" applyBorder="0" applyAlignment="0" applyProtection="0"/>
    <xf numFmtId="0" fontId="57" fillId="43"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57" fillId="44" borderId="0" applyNumberFormat="0" applyBorder="0" applyAlignment="0" applyProtection="0"/>
    <xf numFmtId="0" fontId="57" fillId="45"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57" fillId="46" borderId="0" applyNumberFormat="0" applyBorder="0" applyAlignment="0" applyProtection="0"/>
    <xf numFmtId="0" fontId="57" fillId="47"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57" fillId="48" borderId="0" applyNumberFormat="0" applyBorder="0" applyAlignment="0" applyProtection="0"/>
    <xf numFmtId="0" fontId="57" fillId="49"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7" fillId="50" borderId="0" applyNumberFormat="0" applyBorder="0" applyAlignment="0" applyProtection="0"/>
    <xf numFmtId="0" fontId="4" fillId="0" borderId="0"/>
    <xf numFmtId="0" fontId="4" fillId="2" borderId="1" applyNumberFormat="0" applyFon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2" borderId="1" applyNumberFormat="0" applyFont="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0" borderId="0"/>
    <xf numFmtId="0" fontId="3" fillId="2" borderId="1" applyNumberFormat="0" applyFont="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0" borderId="0"/>
    <xf numFmtId="0" fontId="3" fillId="2" borderId="1" applyNumberFormat="0" applyFont="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2" borderId="1" applyNumberFormat="0" applyFont="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2" borderId="1"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2" borderId="1"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2" borderId="1" applyNumberFormat="0" applyFont="0" applyAlignment="0" applyProtection="0"/>
    <xf numFmtId="0" fontId="1" fillId="0" borderId="0"/>
    <xf numFmtId="0" fontId="1" fillId="2" borderId="1" applyNumberFormat="0" applyFont="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805">
    <xf numFmtId="0" fontId="0" fillId="0" borderId="0" xfId="0"/>
    <xf numFmtId="49" fontId="8" fillId="15" borderId="0" xfId="0" applyNumberFormat="1" applyFont="1" applyFill="1" applyAlignment="1" applyProtection="1">
      <alignment horizontal="center"/>
      <protection locked="0"/>
    </xf>
    <xf numFmtId="49" fontId="8" fillId="15" borderId="0" xfId="0" applyNumberFormat="1" applyFont="1" applyFill="1" applyAlignment="1">
      <alignment horizontal="center"/>
    </xf>
    <xf numFmtId="0" fontId="9" fillId="15" borderId="0" xfId="0" applyFont="1" applyFill="1" applyProtection="1">
      <protection locked="0"/>
    </xf>
    <xf numFmtId="1" fontId="7" fillId="0" borderId="0" xfId="0" applyNumberFormat="1" applyFont="1" applyAlignment="1" applyProtection="1">
      <alignment horizontal="center"/>
      <protection locked="0"/>
    </xf>
    <xf numFmtId="2" fontId="7" fillId="16" borderId="0" xfId="0" applyNumberFormat="1" applyFont="1" applyFill="1" applyAlignment="1" applyProtection="1">
      <alignment horizontal="center"/>
      <protection locked="0"/>
    </xf>
    <xf numFmtId="166" fontId="7" fillId="16" borderId="0" xfId="0" applyNumberFormat="1" applyFont="1" applyFill="1" applyAlignment="1" applyProtection="1">
      <alignment horizontal="center"/>
      <protection locked="0"/>
    </xf>
    <xf numFmtId="2" fontId="7" fillId="15" borderId="0" xfId="0" applyNumberFormat="1" applyFont="1" applyFill="1" applyAlignment="1" applyProtection="1">
      <alignment horizontal="center"/>
      <protection locked="0"/>
    </xf>
    <xf numFmtId="165" fontId="8" fillId="0" borderId="0" xfId="0" applyNumberFormat="1" applyFont="1" applyAlignment="1" applyProtection="1">
      <alignment horizontal="center"/>
      <protection locked="0"/>
    </xf>
    <xf numFmtId="1" fontId="8" fillId="0" borderId="0" xfId="0" applyNumberFormat="1" applyFont="1" applyAlignment="1" applyProtection="1">
      <alignment horizontal="center"/>
      <protection locked="0"/>
    </xf>
    <xf numFmtId="2" fontId="8" fillId="0" borderId="0" xfId="0" applyNumberFormat="1" applyFont="1" applyAlignment="1" applyProtection="1">
      <alignment horizontal="center"/>
      <protection locked="0"/>
    </xf>
    <xf numFmtId="164" fontId="8" fillId="0" borderId="0" xfId="0" applyNumberFormat="1" applyFont="1" applyAlignment="1" applyProtection="1">
      <alignment horizontal="center"/>
      <protection locked="0"/>
    </xf>
    <xf numFmtId="2" fontId="8" fillId="23" borderId="9" xfId="1" applyNumberFormat="1" applyFont="1" applyFill="1" applyBorder="1" applyAlignment="1" applyProtection="1">
      <alignment horizontal="center"/>
      <protection locked="0"/>
    </xf>
    <xf numFmtId="0" fontId="9" fillId="0" borderId="0" xfId="0" applyFont="1" applyProtection="1">
      <protection locked="0"/>
    </xf>
    <xf numFmtId="0" fontId="0" fillId="0" borderId="0" xfId="0" applyProtection="1">
      <protection locked="0"/>
    </xf>
    <xf numFmtId="166" fontId="9" fillId="24" borderId="11" xfId="0" applyNumberFormat="1" applyFont="1" applyFill="1" applyBorder="1" applyProtection="1">
      <protection locked="0"/>
    </xf>
    <xf numFmtId="0" fontId="11" fillId="0" borderId="12" xfId="0" applyFont="1" applyBorder="1" applyAlignment="1" applyProtection="1">
      <alignment horizontal="left" vertical="top"/>
      <protection locked="0"/>
    </xf>
    <xf numFmtId="0" fontId="8" fillId="0" borderId="12" xfId="0" applyFont="1" applyBorder="1" applyAlignment="1" applyProtection="1">
      <alignment horizontal="center"/>
      <protection locked="0"/>
    </xf>
    <xf numFmtId="0" fontId="12" fillId="16" borderId="0" xfId="0" applyFont="1" applyFill="1" applyAlignment="1" applyProtection="1">
      <alignment horizontal="left"/>
      <protection locked="0"/>
    </xf>
    <xf numFmtId="171" fontId="8" fillId="0" borderId="0" xfId="0" applyNumberFormat="1" applyFont="1" applyAlignment="1" applyProtection="1">
      <alignment horizontal="center"/>
      <protection locked="0"/>
    </xf>
    <xf numFmtId="1" fontId="8" fillId="0" borderId="0" xfId="0" applyNumberFormat="1" applyFont="1" applyAlignment="1" applyProtection="1">
      <alignment horizontal="center" vertical="center"/>
      <protection locked="0"/>
    </xf>
    <xf numFmtId="0" fontId="7" fillId="0" borderId="0" xfId="0" applyFont="1" applyProtection="1">
      <protection locked="0"/>
    </xf>
    <xf numFmtId="0" fontId="0" fillId="0" borderId="0" xfId="0" applyAlignment="1" applyProtection="1">
      <alignment horizontal="center"/>
      <protection locked="0"/>
    </xf>
    <xf numFmtId="49" fontId="8" fillId="0" borderId="0" xfId="0" applyNumberFormat="1" applyFont="1" applyAlignment="1" applyProtection="1">
      <alignment horizontal="center"/>
      <protection locked="0"/>
    </xf>
    <xf numFmtId="1" fontId="7" fillId="21" borderId="9" xfId="0" applyNumberFormat="1" applyFont="1" applyFill="1" applyBorder="1" applyAlignment="1">
      <alignment horizontal="center"/>
    </xf>
    <xf numFmtId="0" fontId="11" fillId="15" borderId="13" xfId="0" applyFont="1" applyFill="1" applyBorder="1" applyAlignment="1">
      <alignment horizontal="center"/>
    </xf>
    <xf numFmtId="0" fontId="7" fillId="20" borderId="12" xfId="0" applyFont="1" applyFill="1" applyBorder="1" applyAlignment="1">
      <alignment horizontal="center"/>
    </xf>
    <xf numFmtId="0" fontId="7" fillId="16" borderId="0" xfId="0" applyFont="1" applyFill="1"/>
    <xf numFmtId="1" fontId="0" fillId="15" borderId="0" xfId="0" applyNumberFormat="1" applyFill="1" applyAlignment="1">
      <alignment horizontal="left"/>
    </xf>
    <xf numFmtId="1" fontId="0" fillId="15" borderId="0" xfId="0" applyNumberFormat="1" applyFill="1" applyAlignment="1">
      <alignment horizontal="center"/>
    </xf>
    <xf numFmtId="166" fontId="0" fillId="15" borderId="0" xfId="0" applyNumberFormat="1" applyFill="1" applyAlignment="1">
      <alignment horizontal="center"/>
    </xf>
    <xf numFmtId="0" fontId="7" fillId="20" borderId="16" xfId="0" applyFont="1" applyFill="1" applyBorder="1" applyAlignment="1">
      <alignment horizontal="center"/>
    </xf>
    <xf numFmtId="1" fontId="0" fillId="16" borderId="0" xfId="0" applyNumberFormat="1" applyFill="1" applyAlignment="1">
      <alignment horizontal="center"/>
    </xf>
    <xf numFmtId="166" fontId="0" fillId="16" borderId="0" xfId="0" applyNumberFormat="1" applyFill="1" applyAlignment="1">
      <alignment horizontal="center"/>
    </xf>
    <xf numFmtId="166" fontId="9" fillId="16" borderId="0" xfId="0" applyNumberFormat="1" applyFont="1" applyFill="1" applyAlignment="1">
      <alignment horizontal="center"/>
    </xf>
    <xf numFmtId="166" fontId="0" fillId="15" borderId="0" xfId="0" applyNumberFormat="1" applyFill="1" applyProtection="1">
      <protection locked="0"/>
    </xf>
    <xf numFmtId="166" fontId="8" fillId="16" borderId="0" xfId="0" applyNumberFormat="1" applyFont="1" applyFill="1" applyAlignment="1">
      <alignment horizontal="center"/>
    </xf>
    <xf numFmtId="165" fontId="9" fillId="16" borderId="4" xfId="0" applyNumberFormat="1" applyFont="1" applyFill="1" applyBorder="1" applyAlignment="1">
      <alignment horizontal="center"/>
    </xf>
    <xf numFmtId="165" fontId="9" fillId="16" borderId="0" xfId="0" applyNumberFormat="1" applyFont="1" applyFill="1" applyAlignment="1">
      <alignment horizontal="center"/>
    </xf>
    <xf numFmtId="165" fontId="9" fillId="16" borderId="6" xfId="0" applyNumberFormat="1" applyFont="1" applyFill="1" applyBorder="1" applyAlignment="1">
      <alignment horizontal="center"/>
    </xf>
    <xf numFmtId="165" fontId="9" fillId="16" borderId="7" xfId="0" applyNumberFormat="1" applyFont="1" applyFill="1" applyBorder="1" applyAlignment="1">
      <alignment horizontal="center"/>
    </xf>
    <xf numFmtId="165" fontId="9" fillId="16" borderId="8" xfId="0" applyNumberFormat="1" applyFont="1" applyFill="1" applyBorder="1" applyAlignment="1">
      <alignment horizontal="center"/>
    </xf>
    <xf numFmtId="0" fontId="0" fillId="16" borderId="0" xfId="0" applyFill="1"/>
    <xf numFmtId="0" fontId="0" fillId="16" borderId="11" xfId="0" applyFill="1" applyBorder="1"/>
    <xf numFmtId="165" fontId="17" fillId="16" borderId="0" xfId="0" applyNumberFormat="1" applyFont="1" applyFill="1" applyAlignment="1">
      <alignment horizontal="center"/>
    </xf>
    <xf numFmtId="166" fontId="7" fillId="16" borderId="0" xfId="0" applyNumberFormat="1" applyFont="1" applyFill="1" applyAlignment="1">
      <alignment horizontal="center"/>
    </xf>
    <xf numFmtId="165" fontId="9" fillId="18" borderId="0" xfId="0" applyNumberFormat="1" applyFont="1" applyFill="1" applyAlignment="1" applyProtection="1">
      <alignment horizontal="center"/>
      <protection locked="0"/>
    </xf>
    <xf numFmtId="165" fontId="9" fillId="16" borderId="11" xfId="0" applyNumberFormat="1" applyFont="1" applyFill="1" applyBorder="1" applyAlignment="1">
      <alignment horizontal="center"/>
    </xf>
    <xf numFmtId="165" fontId="7" fillId="16" borderId="0" xfId="0" applyNumberFormat="1" applyFont="1" applyFill="1" applyAlignment="1">
      <alignment horizontal="center"/>
    </xf>
    <xf numFmtId="2" fontId="7" fillId="15" borderId="10" xfId="0" applyNumberFormat="1" applyFont="1" applyFill="1" applyBorder="1" applyAlignment="1">
      <alignment horizontal="center"/>
    </xf>
    <xf numFmtId="0" fontId="20" fillId="19" borderId="6" xfId="0" applyFont="1" applyFill="1" applyBorder="1" applyAlignment="1">
      <alignment horizontal="center"/>
    </xf>
    <xf numFmtId="0" fontId="22" fillId="19" borderId="8" xfId="0" applyFont="1" applyFill="1" applyBorder="1" applyAlignment="1">
      <alignment horizontal="center"/>
    </xf>
    <xf numFmtId="2" fontId="0" fillId="16" borderId="0" xfId="0" applyNumberFormat="1" applyFill="1"/>
    <xf numFmtId="0" fontId="0" fillId="15" borderId="0" xfId="0" applyFill="1" applyProtection="1">
      <protection locked="0"/>
    </xf>
    <xf numFmtId="165" fontId="0" fillId="16" borderId="0" xfId="0" applyNumberFormat="1" applyFill="1"/>
    <xf numFmtId="0" fontId="0" fillId="15" borderId="0" xfId="0" applyFill="1"/>
    <xf numFmtId="11" fontId="0" fillId="16" borderId="0" xfId="0" applyNumberFormat="1" applyFill="1"/>
    <xf numFmtId="165" fontId="7" fillId="16" borderId="16" xfId="0" applyNumberFormat="1" applyFont="1" applyFill="1" applyBorder="1" applyAlignment="1">
      <alignment horizontal="center"/>
    </xf>
    <xf numFmtId="165" fontId="7" fillId="16" borderId="4" xfId="0" applyNumberFormat="1" applyFont="1" applyFill="1" applyBorder="1" applyAlignment="1">
      <alignment horizontal="center"/>
    </xf>
    <xf numFmtId="2" fontId="8" fillId="16" borderId="20" xfId="0" applyNumberFormat="1" applyFont="1" applyFill="1" applyBorder="1" applyAlignment="1">
      <alignment horizontal="center"/>
    </xf>
    <xf numFmtId="170" fontId="0" fillId="16" borderId="0" xfId="0" applyNumberFormat="1" applyFill="1"/>
    <xf numFmtId="2" fontId="11" fillId="16" borderId="0" xfId="0" applyNumberFormat="1" applyFont="1" applyFill="1" applyAlignment="1">
      <alignment horizontal="center"/>
    </xf>
    <xf numFmtId="1" fontId="8" fillId="16" borderId="0" xfId="0" applyNumberFormat="1" applyFont="1" applyFill="1" applyAlignment="1">
      <alignment horizontal="center"/>
    </xf>
    <xf numFmtId="0" fontId="9" fillId="16" borderId="0" xfId="0" applyFont="1" applyFill="1"/>
    <xf numFmtId="0" fontId="0" fillId="16" borderId="0" xfId="0" applyFill="1" applyAlignment="1">
      <alignment horizontal="right"/>
    </xf>
    <xf numFmtId="1" fontId="8" fillId="16" borderId="0" xfId="0" applyNumberFormat="1" applyFont="1" applyFill="1" applyAlignment="1">
      <alignment horizontal="left"/>
    </xf>
    <xf numFmtId="164" fontId="0" fillId="16" borderId="4" xfId="0" applyNumberFormat="1" applyFill="1" applyBorder="1" applyAlignment="1">
      <alignment horizontal="center"/>
    </xf>
    <xf numFmtId="164" fontId="0" fillId="16" borderId="0" xfId="0" applyNumberFormat="1" applyFill="1" applyAlignment="1">
      <alignment horizontal="center"/>
    </xf>
    <xf numFmtId="0" fontId="0" fillId="16" borderId="19" xfId="0" applyFill="1" applyBorder="1" applyAlignment="1">
      <alignment horizontal="right"/>
    </xf>
    <xf numFmtId="164" fontId="0" fillId="16" borderId="13" xfId="0" applyNumberFormat="1" applyFill="1" applyBorder="1" applyAlignment="1">
      <alignment horizontal="center"/>
    </xf>
    <xf numFmtId="2" fontId="0" fillId="16" borderId="0" xfId="0" applyNumberFormat="1" applyFill="1" applyAlignment="1">
      <alignment horizontal="center"/>
    </xf>
    <xf numFmtId="0" fontId="8" fillId="20" borderId="2" xfId="0" applyFont="1" applyFill="1" applyBorder="1" applyAlignment="1">
      <alignment horizontal="center" vertical="center"/>
    </xf>
    <xf numFmtId="1" fontId="8" fillId="20" borderId="0" xfId="0" applyNumberFormat="1" applyFont="1" applyFill="1" applyAlignment="1">
      <alignment horizontal="left"/>
    </xf>
    <xf numFmtId="165" fontId="0" fillId="16" borderId="0" xfId="0" applyNumberFormat="1" applyFill="1" applyAlignment="1">
      <alignment horizontal="center"/>
    </xf>
    <xf numFmtId="1" fontId="0" fillId="16" borderId="0" xfId="0" applyNumberFormat="1" applyFill="1"/>
    <xf numFmtId="0" fontId="7" fillId="20" borderId="4" xfId="0" applyFont="1" applyFill="1" applyBorder="1" applyAlignment="1">
      <alignment horizontal="right"/>
    </xf>
    <xf numFmtId="166" fontId="8" fillId="20" borderId="0" xfId="0" applyNumberFormat="1" applyFont="1" applyFill="1" applyAlignment="1">
      <alignment horizontal="center"/>
    </xf>
    <xf numFmtId="1" fontId="8" fillId="20" borderId="0" xfId="0" applyNumberFormat="1" applyFont="1" applyFill="1" applyAlignment="1">
      <alignment horizontal="center"/>
    </xf>
    <xf numFmtId="0" fontId="8" fillId="20" borderId="10" xfId="0" applyFont="1" applyFill="1" applyBorder="1" applyAlignment="1">
      <alignment horizontal="center" vertical="center"/>
    </xf>
    <xf numFmtId="167" fontId="0" fillId="16" borderId="0" xfId="0" applyNumberFormat="1" applyFill="1" applyAlignment="1">
      <alignment horizontal="center"/>
    </xf>
    <xf numFmtId="1" fontId="0" fillId="18" borderId="0" xfId="0" applyNumberFormat="1" applyFill="1" applyAlignment="1">
      <alignment horizontal="center"/>
    </xf>
    <xf numFmtId="1" fontId="0" fillId="0" borderId="0" xfId="0" applyNumberFormat="1" applyAlignment="1" applyProtection="1">
      <alignment horizontal="center"/>
      <protection locked="0"/>
    </xf>
    <xf numFmtId="166" fontId="0" fillId="18" borderId="0" xfId="0" applyNumberFormat="1" applyFill="1" applyAlignment="1">
      <alignment horizontal="center"/>
    </xf>
    <xf numFmtId="1" fontId="11" fillId="20" borderId="15" xfId="0" applyNumberFormat="1" applyFont="1" applyFill="1" applyBorder="1" applyAlignment="1">
      <alignment horizontal="center" vertical="center"/>
    </xf>
    <xf numFmtId="166" fontId="7" fillId="16" borderId="6" xfId="0" applyNumberFormat="1" applyFont="1" applyFill="1" applyBorder="1" applyAlignment="1">
      <alignment horizontal="center" vertical="center"/>
    </xf>
    <xf numFmtId="1" fontId="7" fillId="16" borderId="13" xfId="0" applyNumberFormat="1" applyFont="1" applyFill="1" applyBorder="1" applyAlignment="1">
      <alignment horizontal="center"/>
    </xf>
    <xf numFmtId="1" fontId="0" fillId="0" borderId="0" xfId="0" applyNumberFormat="1" applyAlignment="1">
      <alignment horizontal="center"/>
    </xf>
    <xf numFmtId="1" fontId="17" fillId="0" borderId="0" xfId="0" applyNumberFormat="1" applyFont="1" applyAlignment="1">
      <alignment horizontal="left"/>
    </xf>
    <xf numFmtId="0" fontId="0" fillId="0" borderId="0" xfId="0" applyAlignment="1" applyProtection="1">
      <alignment horizontal="right"/>
      <protection locked="0"/>
    </xf>
    <xf numFmtId="0" fontId="0" fillId="0" borderId="0" xfId="0" applyAlignment="1" applyProtection="1">
      <alignment horizontal="left"/>
      <protection locked="0"/>
    </xf>
    <xf numFmtId="0" fontId="7" fillId="16" borderId="0" xfId="0" applyFont="1" applyFill="1" applyAlignment="1" applyProtection="1">
      <alignment horizontal="center"/>
      <protection locked="0"/>
    </xf>
    <xf numFmtId="1" fontId="7" fillId="16" borderId="0" xfId="0" applyNumberFormat="1" applyFont="1" applyFill="1" applyAlignment="1" applyProtection="1">
      <alignment horizontal="center"/>
      <protection locked="0"/>
    </xf>
    <xf numFmtId="0" fontId="7" fillId="16" borderId="0" xfId="0" applyFont="1" applyFill="1" applyProtection="1">
      <protection locked="0"/>
    </xf>
    <xf numFmtId="1" fontId="24" fillId="16" borderId="0" xfId="0" applyNumberFormat="1" applyFont="1" applyFill="1" applyAlignment="1" applyProtection="1">
      <alignment horizontal="center"/>
      <protection locked="0"/>
    </xf>
    <xf numFmtId="2" fontId="25" fillId="16" borderId="0" xfId="0" applyNumberFormat="1" applyFont="1" applyFill="1" applyAlignment="1" applyProtection="1">
      <alignment horizontal="center"/>
      <protection locked="0"/>
    </xf>
    <xf numFmtId="166" fontId="26" fillId="16" borderId="0" xfId="0" applyNumberFormat="1" applyFont="1" applyFill="1" applyAlignment="1" applyProtection="1">
      <alignment horizontal="center"/>
      <protection locked="0"/>
    </xf>
    <xf numFmtId="0" fontId="7" fillId="16" borderId="12" xfId="0" applyFont="1" applyFill="1" applyBorder="1" applyAlignment="1" applyProtection="1">
      <alignment horizontal="center"/>
      <protection locked="0"/>
    </xf>
    <xf numFmtId="166" fontId="24" fillId="16" borderId="0" xfId="0" applyNumberFormat="1" applyFont="1" applyFill="1" applyAlignment="1" applyProtection="1">
      <alignment horizontal="center"/>
      <protection locked="0"/>
    </xf>
    <xf numFmtId="2" fontId="7" fillId="16" borderId="0" xfId="0" applyNumberFormat="1" applyFont="1" applyFill="1" applyProtection="1">
      <protection locked="0"/>
    </xf>
    <xf numFmtId="0" fontId="7" fillId="15" borderId="11" xfId="0" applyFont="1" applyFill="1" applyBorder="1" applyAlignment="1">
      <alignment horizontal="left"/>
    </xf>
    <xf numFmtId="0" fontId="7" fillId="15" borderId="0" xfId="0" applyFont="1" applyFill="1" applyAlignment="1">
      <alignment horizontal="left"/>
    </xf>
    <xf numFmtId="0" fontId="0" fillId="15" borderId="0" xfId="0" applyFill="1" applyAlignment="1">
      <alignment horizontal="left"/>
    </xf>
    <xf numFmtId="0" fontId="7" fillId="15" borderId="4" xfId="0" applyFont="1" applyFill="1" applyBorder="1" applyAlignment="1">
      <alignment horizontal="left"/>
    </xf>
    <xf numFmtId="0" fontId="18" fillId="15" borderId="11" xfId="2" applyFont="1" applyFill="1" applyBorder="1" applyAlignment="1">
      <alignment horizontal="left"/>
    </xf>
    <xf numFmtId="1" fontId="0" fillId="15" borderId="12" xfId="0" applyNumberFormat="1" applyFill="1" applyBorder="1" applyAlignment="1" applyProtection="1">
      <alignment horizontal="center"/>
      <protection locked="0"/>
    </xf>
    <xf numFmtId="2" fontId="0" fillId="15" borderId="12" xfId="0" applyNumberFormat="1" applyFill="1" applyBorder="1" applyAlignment="1" applyProtection="1">
      <alignment horizontal="center"/>
      <protection locked="0"/>
    </xf>
    <xf numFmtId="0" fontId="0" fillId="15" borderId="13" xfId="0" applyFill="1" applyBorder="1" applyAlignment="1" applyProtection="1">
      <alignment horizontal="center"/>
      <protection locked="0"/>
    </xf>
    <xf numFmtId="0" fontId="18" fillId="15" borderId="0" xfId="2" applyFont="1" applyFill="1" applyAlignment="1">
      <alignment horizontal="left"/>
    </xf>
    <xf numFmtId="1" fontId="0" fillId="15" borderId="0" xfId="0" applyNumberFormat="1" applyFill="1" applyAlignment="1" applyProtection="1">
      <alignment horizontal="center"/>
      <protection locked="0"/>
    </xf>
    <xf numFmtId="0" fontId="0" fillId="15" borderId="0" xfId="0" applyFill="1" applyAlignment="1" applyProtection="1">
      <alignment horizontal="center"/>
      <protection locked="0"/>
    </xf>
    <xf numFmtId="2" fontId="0" fillId="15" borderId="0" xfId="0" applyNumberFormat="1" applyFill="1" applyAlignment="1" applyProtection="1">
      <alignment horizontal="center"/>
      <protection locked="0"/>
    </xf>
    <xf numFmtId="0" fontId="18" fillId="27" borderId="0" xfId="2" applyFont="1" applyFill="1" applyAlignment="1">
      <alignment horizontal="left"/>
    </xf>
    <xf numFmtId="166" fontId="0" fillId="27" borderId="0" xfId="0" applyNumberFormat="1" applyFill="1" applyAlignment="1" applyProtection="1">
      <alignment horizontal="center"/>
      <protection locked="0"/>
    </xf>
    <xf numFmtId="1" fontId="18" fillId="0" borderId="0" xfId="2" applyNumberFormat="1" applyFont="1" applyAlignment="1" applyProtection="1">
      <alignment horizontal="left"/>
      <protection locked="0"/>
    </xf>
    <xf numFmtId="1" fontId="7" fillId="0" borderId="0" xfId="2" applyNumberFormat="1" applyAlignment="1" applyProtection="1">
      <alignment horizontal="center"/>
      <protection locked="0"/>
    </xf>
    <xf numFmtId="0" fontId="18" fillId="0" borderId="0" xfId="2" applyFont="1" applyAlignment="1">
      <alignment horizontal="left"/>
    </xf>
    <xf numFmtId="0" fontId="7" fillId="0" borderId="0" xfId="0" applyFont="1"/>
    <xf numFmtId="0" fontId="0" fillId="23" borderId="15" xfId="0" applyFill="1" applyBorder="1"/>
    <xf numFmtId="0" fontId="29" fillId="23" borderId="2" xfId="0" applyFont="1" applyFill="1" applyBorder="1" applyAlignment="1">
      <alignment horizontal="left" vertical="center"/>
    </xf>
    <xf numFmtId="0" fontId="0" fillId="23" borderId="2" xfId="0" applyFill="1" applyBorder="1"/>
    <xf numFmtId="0" fontId="0" fillId="23" borderId="3" xfId="0" applyFill="1" applyBorder="1"/>
    <xf numFmtId="0" fontId="0" fillId="0" borderId="0" xfId="0" applyAlignment="1">
      <alignment horizontal="center"/>
    </xf>
    <xf numFmtId="0" fontId="0" fillId="0" borderId="7" xfId="0" applyBorder="1"/>
    <xf numFmtId="0" fontId="7" fillId="0" borderId="8" xfId="0" applyFont="1" applyBorder="1" applyAlignment="1">
      <alignment horizontal="center"/>
    </xf>
    <xf numFmtId="0" fontId="16" fillId="0" borderId="6" xfId="0" applyFont="1" applyBorder="1"/>
    <xf numFmtId="0" fontId="25" fillId="0" borderId="7" xfId="0" applyFont="1" applyBorder="1" applyAlignment="1">
      <alignment horizontal="center"/>
    </xf>
    <xf numFmtId="0" fontId="25" fillId="0" borderId="8" xfId="0" applyFont="1" applyBorder="1" applyAlignment="1">
      <alignment horizontal="center"/>
    </xf>
    <xf numFmtId="0" fontId="0" fillId="0" borderId="8" xfId="0" applyBorder="1"/>
    <xf numFmtId="0" fontId="7" fillId="0" borderId="4" xfId="0" applyFont="1" applyBorder="1"/>
    <xf numFmtId="49" fontId="7" fillId="0" borderId="0" xfId="0" applyNumberFormat="1" applyFont="1" applyAlignment="1">
      <alignment horizontal="center"/>
    </xf>
    <xf numFmtId="49" fontId="7" fillId="0" borderId="11" xfId="0" applyNumberFormat="1" applyFont="1" applyBorder="1" applyAlignment="1">
      <alignment horizontal="center"/>
    </xf>
    <xf numFmtId="49" fontId="7" fillId="0" borderId="16" xfId="0" applyNumberFormat="1" applyFont="1" applyBorder="1" applyAlignment="1">
      <alignment horizontal="center"/>
    </xf>
    <xf numFmtId="0" fontId="0" fillId="0" borderId="4" xfId="0" applyBorder="1"/>
    <xf numFmtId="0" fontId="7" fillId="16" borderId="0" xfId="0" applyFont="1" applyFill="1" applyAlignment="1">
      <alignment horizontal="left" vertical="center"/>
    </xf>
    <xf numFmtId="0" fontId="0" fillId="0" borderId="11" xfId="0" applyBorder="1"/>
    <xf numFmtId="0" fontId="7" fillId="0" borderId="0" xfId="0" applyFont="1" applyAlignment="1">
      <alignment horizontal="left"/>
    </xf>
    <xf numFmtId="0" fontId="0" fillId="0" borderId="11" xfId="0" applyBorder="1" applyAlignment="1">
      <alignment horizontal="center"/>
    </xf>
    <xf numFmtId="0" fontId="7" fillId="0" borderId="13" xfId="0" applyFont="1" applyBorder="1"/>
    <xf numFmtId="0" fontId="0" fillId="0" borderId="12" xfId="0" applyBorder="1"/>
    <xf numFmtId="165" fontId="0" fillId="0" borderId="0" xfId="0" applyNumberFormat="1" applyAlignment="1">
      <alignment horizontal="center"/>
    </xf>
    <xf numFmtId="49" fontId="7" fillId="0" borderId="9" xfId="0" applyNumberFormat="1" applyFont="1" applyBorder="1" applyAlignment="1">
      <alignment horizontal="center"/>
    </xf>
    <xf numFmtId="0" fontId="7" fillId="0" borderId="6" xfId="0" applyFont="1" applyBorder="1"/>
    <xf numFmtId="0" fontId="0" fillId="0" borderId="6" xfId="0" applyBorder="1"/>
    <xf numFmtId="0" fontId="0" fillId="0" borderId="13" xfId="0" applyBorder="1"/>
    <xf numFmtId="0" fontId="7" fillId="0" borderId="6" xfId="0" applyFont="1" applyBorder="1" applyAlignment="1">
      <alignment horizontal="left"/>
    </xf>
    <xf numFmtId="0" fontId="0" fillId="0" borderId="7" xfId="0" applyBorder="1" applyAlignment="1">
      <alignment horizontal="left"/>
    </xf>
    <xf numFmtId="0" fontId="7" fillId="0" borderId="13" xfId="0" applyFont="1" applyBorder="1" applyAlignment="1">
      <alignment horizontal="left"/>
    </xf>
    <xf numFmtId="0" fontId="7" fillId="0" borderId="12" xfId="0" applyFont="1" applyBorder="1" applyAlignment="1">
      <alignment horizontal="left"/>
    </xf>
    <xf numFmtId="0" fontId="0" fillId="0" borderId="7" xfId="0" applyBorder="1" applyAlignment="1">
      <alignment horizontal="center"/>
    </xf>
    <xf numFmtId="0" fontId="0" fillId="0" borderId="8" xfId="0" applyBorder="1" applyAlignment="1">
      <alignment horizontal="center"/>
    </xf>
    <xf numFmtId="49" fontId="7" fillId="0" borderId="4" xfId="0" applyNumberFormat="1" applyFont="1" applyBorder="1" applyAlignment="1">
      <alignment horizontal="left"/>
    </xf>
    <xf numFmtId="49" fontId="7" fillId="0" borderId="0" xfId="0" applyNumberFormat="1" applyFont="1" applyAlignment="1">
      <alignment horizontal="left"/>
    </xf>
    <xf numFmtId="0" fontId="0" fillId="0" borderId="0" xfId="0" applyAlignment="1">
      <alignment horizontal="left"/>
    </xf>
    <xf numFmtId="49" fontId="0" fillId="16" borderId="0" xfId="0" applyNumberFormat="1" applyFill="1" applyAlignment="1" applyProtection="1">
      <alignment horizontal="center"/>
      <protection locked="0"/>
    </xf>
    <xf numFmtId="169"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165" fontId="0" fillId="0" borderId="0" xfId="0" applyNumberFormat="1" applyAlignment="1" applyProtection="1">
      <alignment horizontal="center"/>
      <protection locked="0"/>
    </xf>
    <xf numFmtId="1" fontId="0" fillId="17" borderId="0" xfId="0" applyNumberFormat="1" applyFill="1" applyAlignment="1" applyProtection="1">
      <alignment horizontal="center"/>
      <protection locked="0"/>
    </xf>
    <xf numFmtId="166" fontId="0" fillId="16" borderId="0" xfId="0" applyNumberFormat="1" applyFill="1" applyAlignment="1" applyProtection="1">
      <alignment horizontal="center"/>
      <protection locked="0"/>
    </xf>
    <xf numFmtId="0" fontId="0" fillId="16" borderId="0" xfId="3" applyFont="1" applyFill="1" applyAlignment="1" applyProtection="1">
      <alignment horizontal="center"/>
      <protection locked="0"/>
    </xf>
    <xf numFmtId="49" fontId="0" fillId="0" borderId="0" xfId="0" applyNumberFormat="1" applyProtection="1">
      <protection locked="0"/>
    </xf>
    <xf numFmtId="166" fontId="0" fillId="0" borderId="0" xfId="0" applyNumberFormat="1" applyAlignment="1" applyProtection="1">
      <alignment horizontal="center"/>
      <protection locked="0"/>
    </xf>
    <xf numFmtId="2" fontId="7" fillId="0" borderId="0" xfId="2" applyNumberFormat="1" applyAlignment="1" applyProtection="1">
      <alignment horizontal="center"/>
      <protection locked="0"/>
    </xf>
    <xf numFmtId="0" fontId="8" fillId="0" borderId="0" xfId="0" applyFont="1" applyAlignment="1" applyProtection="1">
      <alignment horizontal="center"/>
      <protection locked="0"/>
    </xf>
    <xf numFmtId="0" fontId="0" fillId="16" borderId="0" xfId="0" applyFill="1" applyAlignment="1">
      <alignment horizontal="left" vertical="center"/>
    </xf>
    <xf numFmtId="0" fontId="13" fillId="15" borderId="0" xfId="0" applyFont="1" applyFill="1" applyProtection="1">
      <protection locked="0"/>
    </xf>
    <xf numFmtId="49" fontId="13" fillId="15" borderId="0" xfId="0" applyNumberFormat="1" applyFont="1" applyFill="1" applyAlignment="1" applyProtection="1">
      <alignment horizontal="center"/>
      <protection locked="0"/>
    </xf>
    <xf numFmtId="0" fontId="14" fillId="0" borderId="0" xfId="0" applyFont="1" applyProtection="1">
      <protection locked="0"/>
    </xf>
    <xf numFmtId="0" fontId="13" fillId="0" borderId="0" xfId="0" applyFont="1" applyProtection="1">
      <protection locked="0"/>
    </xf>
    <xf numFmtId="0" fontId="8" fillId="15" borderId="0" xfId="0" applyFont="1" applyFill="1" applyProtection="1">
      <protection locked="0"/>
    </xf>
    <xf numFmtId="1" fontId="15" fillId="18" borderId="15" xfId="2" applyNumberFormat="1" applyFont="1" applyFill="1" applyBorder="1" applyAlignment="1" applyProtection="1">
      <alignment horizontal="left" vertical="center" indent="1"/>
      <protection locked="0"/>
    </xf>
    <xf numFmtId="1" fontId="15" fillId="18" borderId="3" xfId="2" applyNumberFormat="1" applyFont="1" applyFill="1" applyBorder="1" applyAlignment="1" applyProtection="1">
      <alignment horizontal="left" vertical="center" indent="1"/>
      <protection locked="0"/>
    </xf>
    <xf numFmtId="0" fontId="8" fillId="15" borderId="7" xfId="0" applyFont="1" applyFill="1" applyBorder="1" applyAlignment="1" applyProtection="1">
      <alignment horizontal="center"/>
      <protection locked="0"/>
    </xf>
    <xf numFmtId="0" fontId="0" fillId="24" borderId="13" xfId="0" applyFill="1" applyBorder="1" applyProtection="1">
      <protection locked="0"/>
    </xf>
    <xf numFmtId="0" fontId="7" fillId="0" borderId="11" xfId="0" applyFont="1" applyBorder="1" applyAlignment="1">
      <alignment horizontal="left"/>
    </xf>
    <xf numFmtId="0" fontId="25" fillId="0" borderId="5" xfId="0" applyFont="1" applyBorder="1" applyAlignment="1">
      <alignment horizontal="center"/>
    </xf>
    <xf numFmtId="49" fontId="7" fillId="0" borderId="4" xfId="0" applyNumberFormat="1" applyFont="1" applyBorder="1" applyAlignment="1">
      <alignment horizontal="center"/>
    </xf>
    <xf numFmtId="49" fontId="7" fillId="0" borderId="13" xfId="0" applyNumberFormat="1" applyFont="1" applyBorder="1" applyAlignment="1">
      <alignment horizontal="center"/>
    </xf>
    <xf numFmtId="0" fontId="25" fillId="0" borderId="6" xfId="0" applyFont="1" applyBorder="1" applyAlignment="1">
      <alignment horizontal="center"/>
    </xf>
    <xf numFmtId="0" fontId="0" fillId="0" borderId="5" xfId="0" applyBorder="1" applyAlignment="1">
      <alignment horizontal="center"/>
    </xf>
    <xf numFmtId="0" fontId="0" fillId="0" borderId="9" xfId="0" applyBorder="1" applyAlignment="1">
      <alignment horizontal="center"/>
    </xf>
    <xf numFmtId="49" fontId="0" fillId="15" borderId="0" xfId="0" applyNumberFormat="1" applyFill="1" applyAlignment="1" applyProtection="1">
      <alignment horizontal="center"/>
      <protection locked="0"/>
    </xf>
    <xf numFmtId="1" fontId="0" fillId="30" borderId="0" xfId="0" applyNumberFormat="1" applyFill="1" applyAlignment="1">
      <alignment horizontal="center"/>
    </xf>
    <xf numFmtId="1" fontId="31" fillId="28" borderId="10" xfId="2" applyNumberFormat="1" applyFont="1" applyFill="1" applyBorder="1" applyAlignment="1" applyProtection="1">
      <alignment horizontal="center" vertical="center"/>
      <protection locked="0"/>
    </xf>
    <xf numFmtId="0" fontId="7" fillId="15" borderId="13" xfId="0" applyFont="1" applyFill="1" applyBorder="1" applyAlignment="1">
      <alignment horizontal="center"/>
    </xf>
    <xf numFmtId="0" fontId="0" fillId="19" borderId="4" xfId="0" applyFill="1" applyBorder="1" applyAlignment="1">
      <alignment horizontal="center" vertical="center"/>
    </xf>
    <xf numFmtId="0" fontId="0" fillId="19" borderId="0" xfId="0" applyFill="1" applyAlignment="1">
      <alignment horizontal="center" vertical="center"/>
    </xf>
    <xf numFmtId="0" fontId="0" fillId="19" borderId="11" xfId="0" applyFill="1" applyBorder="1" applyAlignment="1">
      <alignment horizontal="center" vertical="center"/>
    </xf>
    <xf numFmtId="172" fontId="19" fillId="16" borderId="18" xfId="0" applyNumberFormat="1" applyFont="1" applyFill="1" applyBorder="1" applyAlignment="1">
      <alignment horizontal="center" vertical="center"/>
    </xf>
    <xf numFmtId="172" fontId="19" fillId="16" borderId="24" xfId="0" applyNumberFormat="1" applyFont="1" applyFill="1" applyBorder="1" applyAlignment="1">
      <alignment horizontal="center" vertical="center"/>
    </xf>
    <xf numFmtId="165" fontId="9" fillId="16" borderId="19" xfId="0" applyNumberFormat="1" applyFont="1" applyFill="1" applyBorder="1" applyAlignment="1">
      <alignment horizontal="center" vertical="center"/>
    </xf>
    <xf numFmtId="2" fontId="11" fillId="16" borderId="23" xfId="0" applyNumberFormat="1" applyFont="1" applyFill="1" applyBorder="1" applyAlignment="1">
      <alignment horizontal="center" vertical="center"/>
    </xf>
    <xf numFmtId="0" fontId="7" fillId="0" borderId="14" xfId="0" applyFont="1" applyBorder="1" applyAlignment="1">
      <alignment horizontal="center"/>
    </xf>
    <xf numFmtId="49" fontId="7" fillId="0" borderId="14" xfId="0" applyNumberFormat="1" applyFont="1" applyBorder="1" applyAlignment="1">
      <alignment horizontal="center"/>
    </xf>
    <xf numFmtId="49" fontId="0" fillId="0" borderId="0" xfId="0" applyNumberFormat="1" applyAlignment="1">
      <alignment horizontal="center"/>
    </xf>
    <xf numFmtId="1" fontId="7" fillId="0" borderId="8" xfId="0" applyNumberFormat="1" applyFont="1" applyBorder="1" applyAlignment="1">
      <alignment horizontal="center"/>
    </xf>
    <xf numFmtId="1" fontId="0" fillId="0" borderId="14" xfId="0" applyNumberFormat="1" applyBorder="1" applyAlignment="1">
      <alignment horizontal="center"/>
    </xf>
    <xf numFmtId="49" fontId="0" fillId="0" borderId="16" xfId="0" applyNumberFormat="1" applyBorder="1"/>
    <xf numFmtId="2" fontId="0" fillId="0" borderId="8" xfId="0" applyNumberFormat="1" applyBorder="1" applyAlignment="1">
      <alignment horizontal="center"/>
    </xf>
    <xf numFmtId="2" fontId="0" fillId="0" borderId="11" xfId="0" applyNumberFormat="1" applyBorder="1" applyAlignment="1">
      <alignment horizontal="center"/>
    </xf>
    <xf numFmtId="49" fontId="0" fillId="0" borderId="11" xfId="0" applyNumberFormat="1" applyBorder="1"/>
    <xf numFmtId="49" fontId="0" fillId="0" borderId="14" xfId="0" applyNumberFormat="1" applyBorder="1"/>
    <xf numFmtId="1" fontId="0" fillId="0" borderId="12" xfId="0" applyNumberFormat="1" applyBorder="1" applyAlignment="1" applyProtection="1">
      <alignment horizontal="center"/>
      <protection locked="0"/>
    </xf>
    <xf numFmtId="0" fontId="0" fillId="0" borderId="12" xfId="0" applyBorder="1" applyProtection="1">
      <protection locked="0"/>
    </xf>
    <xf numFmtId="165" fontId="8" fillId="0" borderId="10" xfId="0" applyNumberFormat="1" applyFont="1" applyBorder="1" applyAlignment="1" applyProtection="1">
      <alignment horizontal="center"/>
      <protection locked="0"/>
    </xf>
    <xf numFmtId="0" fontId="32" fillId="0" borderId="0" xfId="0" applyFont="1" applyAlignment="1">
      <alignment vertical="center"/>
    </xf>
    <xf numFmtId="0" fontId="34" fillId="32" borderId="10" xfId="0" applyFont="1" applyFill="1" applyBorder="1" applyAlignment="1">
      <alignment vertical="center" wrapText="1"/>
    </xf>
    <xf numFmtId="0" fontId="32" fillId="32" borderId="10" xfId="0" applyFont="1" applyFill="1" applyBorder="1" applyAlignment="1">
      <alignment vertical="center" wrapText="1"/>
    </xf>
    <xf numFmtId="0" fontId="35" fillId="0" borderId="10" xfId="0" applyFont="1" applyBorder="1" applyAlignment="1">
      <alignment vertical="center" wrapText="1"/>
    </xf>
    <xf numFmtId="0" fontId="32" fillId="15" borderId="0" xfId="0" applyFont="1" applyFill="1" applyAlignment="1">
      <alignment vertical="center"/>
    </xf>
    <xf numFmtId="0" fontId="35" fillId="0" borderId="10" xfId="0" applyFont="1" applyBorder="1"/>
    <xf numFmtId="0" fontId="35" fillId="0" borderId="5" xfId="0" applyFont="1" applyBorder="1" applyAlignment="1">
      <alignment vertical="center" wrapText="1"/>
    </xf>
    <xf numFmtId="0" fontId="35" fillId="23" borderId="10" xfId="0" applyFont="1" applyFill="1" applyBorder="1" applyAlignment="1">
      <alignment vertical="center" wrapText="1"/>
    </xf>
    <xf numFmtId="0" fontId="35" fillId="15" borderId="10" xfId="0" applyFont="1" applyFill="1" applyBorder="1" applyAlignment="1">
      <alignment vertical="center" wrapText="1"/>
    </xf>
    <xf numFmtId="0" fontId="33" fillId="15" borderId="0" xfId="0" applyFont="1" applyFill="1"/>
    <xf numFmtId="0" fontId="0" fillId="0" borderId="4" xfId="0" applyBorder="1" applyAlignment="1">
      <alignment horizontal="fill"/>
    </xf>
    <xf numFmtId="0" fontId="0" fillId="0" borderId="0" xfId="0" applyAlignment="1">
      <alignment horizontal="fill"/>
    </xf>
    <xf numFmtId="0" fontId="0" fillId="0" borderId="11" xfId="0" applyBorder="1" applyAlignment="1">
      <alignment horizontal="fill"/>
    </xf>
    <xf numFmtId="173" fontId="24" fillId="16" borderId="0" xfId="0" applyNumberFormat="1" applyFont="1" applyFill="1" applyAlignment="1" applyProtection="1">
      <alignment horizontal="center"/>
      <protection locked="0"/>
    </xf>
    <xf numFmtId="173" fontId="7" fillId="16" borderId="0" xfId="0" applyNumberFormat="1" applyFont="1" applyFill="1" applyAlignment="1" applyProtection="1">
      <alignment horizontal="center"/>
      <protection locked="0"/>
    </xf>
    <xf numFmtId="164" fontId="8" fillId="15" borderId="7" xfId="0" applyNumberFormat="1" applyFont="1" applyFill="1" applyBorder="1" applyAlignment="1" applyProtection="1">
      <alignment horizontal="center"/>
      <protection locked="0"/>
    </xf>
    <xf numFmtId="1" fontId="0" fillId="16" borderId="0" xfId="0" applyNumberFormat="1" applyFill="1" applyProtection="1">
      <protection locked="0"/>
    </xf>
    <xf numFmtId="1" fontId="7" fillId="16" borderId="0" xfId="0" applyNumberFormat="1" applyFont="1" applyFill="1" applyProtection="1">
      <protection locked="0"/>
    </xf>
    <xf numFmtId="0" fontId="7" fillId="16" borderId="12" xfId="0" applyFont="1" applyFill="1" applyBorder="1" applyAlignment="1" applyProtection="1">
      <alignment horizontal="center" vertical="top"/>
      <protection locked="0"/>
    </xf>
    <xf numFmtId="1" fontId="7" fillId="16" borderId="12" xfId="0" applyNumberFormat="1" applyFont="1" applyFill="1" applyBorder="1" applyAlignment="1" applyProtection="1">
      <alignment horizontal="center" vertical="top"/>
      <protection locked="0"/>
    </xf>
    <xf numFmtId="166" fontId="7" fillId="16" borderId="12" xfId="0" applyNumberFormat="1" applyFont="1" applyFill="1" applyBorder="1" applyAlignment="1" applyProtection="1">
      <alignment horizontal="center" vertical="top"/>
      <protection locked="0"/>
    </xf>
    <xf numFmtId="2" fontId="7" fillId="16" borderId="12" xfId="0" applyNumberFormat="1" applyFont="1" applyFill="1" applyBorder="1" applyAlignment="1" applyProtection="1">
      <alignment horizontal="center" vertical="top"/>
      <protection locked="0"/>
    </xf>
    <xf numFmtId="166" fontId="24" fillId="16" borderId="12" xfId="0" applyNumberFormat="1" applyFont="1" applyFill="1" applyBorder="1" applyAlignment="1" applyProtection="1">
      <alignment horizontal="center" vertical="top"/>
      <protection locked="0"/>
    </xf>
    <xf numFmtId="165" fontId="0" fillId="26" borderId="0" xfId="0" applyNumberFormat="1" applyFill="1" applyAlignment="1" applyProtection="1">
      <alignment horizontal="center"/>
      <protection locked="0"/>
    </xf>
    <xf numFmtId="49" fontId="0" fillId="15" borderId="0" xfId="0" applyNumberFormat="1" applyFill="1" applyProtection="1">
      <protection locked="0"/>
    </xf>
    <xf numFmtId="166" fontId="0" fillId="15" borderId="0" xfId="0" applyNumberFormat="1" applyFill="1" applyAlignment="1" applyProtection="1">
      <alignment horizontal="center"/>
      <protection locked="0"/>
    </xf>
    <xf numFmtId="0" fontId="0" fillId="0" borderId="2" xfId="0" applyBorder="1" applyAlignment="1">
      <alignment horizontal="center"/>
    </xf>
    <xf numFmtId="0" fontId="0" fillId="0" borderId="2" xfId="0" applyBorder="1" applyAlignment="1" applyProtection="1">
      <alignment horizontal="center"/>
      <protection locked="0"/>
    </xf>
    <xf numFmtId="166" fontId="0" fillId="0" borderId="3" xfId="0" applyNumberFormat="1" applyBorder="1" applyAlignment="1" applyProtection="1">
      <alignment horizontal="center"/>
      <protection locked="0"/>
    </xf>
    <xf numFmtId="0" fontId="38" fillId="0" borderId="0" xfId="0" applyFont="1" applyAlignment="1" applyProtection="1">
      <alignment horizontal="center"/>
      <protection locked="0"/>
    </xf>
    <xf numFmtId="0" fontId="0" fillId="16" borderId="0" xfId="0" applyFill="1" applyAlignment="1" applyProtection="1">
      <alignment horizontal="left"/>
      <protection locked="0"/>
    </xf>
    <xf numFmtId="0" fontId="0" fillId="16" borderId="0" xfId="0" applyFill="1" applyProtection="1">
      <protection locked="0"/>
    </xf>
    <xf numFmtId="49" fontId="0" fillId="16" borderId="0" xfId="0" applyNumberFormat="1" applyFill="1" applyProtection="1">
      <protection locked="0"/>
    </xf>
    <xf numFmtId="0" fontId="0" fillId="15" borderId="6" xfId="0" applyFill="1" applyBorder="1" applyProtection="1">
      <protection locked="0"/>
    </xf>
    <xf numFmtId="0" fontId="0" fillId="15" borderId="7" xfId="0" applyFill="1" applyBorder="1" applyProtection="1">
      <protection locked="0"/>
    </xf>
    <xf numFmtId="2" fontId="0" fillId="15" borderId="7" xfId="0" applyNumberFormat="1" applyFill="1" applyBorder="1" applyAlignment="1" applyProtection="1">
      <alignment horizontal="center"/>
      <protection locked="0"/>
    </xf>
    <xf numFmtId="0" fontId="0" fillId="15" borderId="7" xfId="0" applyFill="1" applyBorder="1" applyAlignment="1" applyProtection="1">
      <alignment horizontal="center"/>
      <protection locked="0"/>
    </xf>
    <xf numFmtId="0" fontId="0" fillId="15" borderId="11" xfId="0" applyFill="1" applyBorder="1" applyProtection="1">
      <protection locked="0"/>
    </xf>
    <xf numFmtId="166" fontId="0" fillId="24" borderId="7" xfId="0" applyNumberFormat="1" applyFill="1" applyBorder="1" applyProtection="1">
      <protection locked="0"/>
    </xf>
    <xf numFmtId="166" fontId="0" fillId="24" borderId="8" xfId="0" applyNumberFormat="1" applyFill="1" applyBorder="1" applyProtection="1">
      <protection locked="0"/>
    </xf>
    <xf numFmtId="0" fontId="0" fillId="24" borderId="4" xfId="0" applyFill="1" applyBorder="1" applyProtection="1">
      <protection locked="0"/>
    </xf>
    <xf numFmtId="0" fontId="0" fillId="24" borderId="0" xfId="0" applyFill="1" applyAlignment="1" applyProtection="1">
      <alignment horizontal="center"/>
      <protection locked="0"/>
    </xf>
    <xf numFmtId="0" fontId="0" fillId="24" borderId="12" xfId="0" applyFill="1" applyBorder="1" applyAlignment="1" applyProtection="1">
      <alignment horizontal="center"/>
      <protection locked="0"/>
    </xf>
    <xf numFmtId="166" fontId="0" fillId="24" borderId="12" xfId="0" applyNumberFormat="1" applyFill="1" applyBorder="1" applyProtection="1">
      <protection locked="0"/>
    </xf>
    <xf numFmtId="0" fontId="0" fillId="15" borderId="13" xfId="0" applyFill="1" applyBorder="1" applyProtection="1">
      <protection locked="0"/>
    </xf>
    <xf numFmtId="0" fontId="0" fillId="15" borderId="12" xfId="0" applyFill="1" applyBorder="1" applyAlignment="1" applyProtection="1">
      <alignment horizontal="center"/>
      <protection locked="0"/>
    </xf>
    <xf numFmtId="164" fontId="0" fillId="0" borderId="0" xfId="0" applyNumberFormat="1" applyProtection="1">
      <protection locked="0"/>
    </xf>
    <xf numFmtId="11" fontId="0" fillId="0" borderId="0" xfId="0" applyNumberFormat="1" applyAlignment="1" applyProtection="1">
      <alignment horizontal="center"/>
      <protection locked="0"/>
    </xf>
    <xf numFmtId="49" fontId="0" fillId="16" borderId="12" xfId="0" applyNumberFormat="1" applyFill="1" applyBorder="1" applyAlignment="1" applyProtection="1">
      <alignment horizontal="center"/>
      <protection locked="0"/>
    </xf>
    <xf numFmtId="49" fontId="0" fillId="0" borderId="12" xfId="0" applyNumberFormat="1" applyBorder="1" applyProtection="1">
      <protection locked="0"/>
    </xf>
    <xf numFmtId="49" fontId="0" fillId="0" borderId="12" xfId="0" applyNumberFormat="1" applyBorder="1" applyAlignment="1" applyProtection="1">
      <alignment horizontal="center"/>
      <protection locked="0"/>
    </xf>
    <xf numFmtId="49" fontId="0" fillId="0" borderId="0" xfId="0" applyNumberFormat="1" applyAlignment="1" applyProtection="1">
      <alignment horizontal="center"/>
      <protection locked="0"/>
    </xf>
    <xf numFmtId="49" fontId="0" fillId="15" borderId="7" xfId="0" applyNumberFormat="1" applyFill="1" applyBorder="1" applyAlignment="1" applyProtection="1">
      <alignment horizontal="center"/>
      <protection locked="0"/>
    </xf>
    <xf numFmtId="0" fontId="0" fillId="15" borderId="12" xfId="0" applyFill="1" applyBorder="1" applyAlignment="1" applyProtection="1">
      <alignment horizontal="center" vertical="center"/>
      <protection locked="0"/>
    </xf>
    <xf numFmtId="1" fontId="0" fillId="15" borderId="12" xfId="0" applyNumberFormat="1" applyFill="1" applyBorder="1" applyAlignment="1" applyProtection="1">
      <alignment horizontal="center" vertical="center"/>
      <protection locked="0"/>
    </xf>
    <xf numFmtId="165" fontId="0" fillId="15" borderId="12" xfId="0" applyNumberFormat="1" applyFill="1" applyBorder="1" applyAlignment="1" applyProtection="1">
      <alignment horizontal="center" vertical="center"/>
      <protection locked="0"/>
    </xf>
    <xf numFmtId="164" fontId="0" fillId="15" borderId="12" xfId="0" applyNumberFormat="1" applyFill="1" applyBorder="1" applyAlignment="1" applyProtection="1">
      <alignment horizontal="center" vertical="center"/>
      <protection locked="0"/>
    </xf>
    <xf numFmtId="2" fontId="0" fillId="15" borderId="12" xfId="0" applyNumberFormat="1" applyFill="1" applyBorder="1" applyAlignment="1" applyProtection="1">
      <alignment horizontal="center" vertical="center"/>
      <protection locked="0"/>
    </xf>
    <xf numFmtId="166" fontId="0" fillId="15" borderId="12" xfId="0" applyNumberFormat="1" applyFill="1" applyBorder="1" applyAlignment="1" applyProtection="1">
      <alignment horizontal="center" vertical="center"/>
      <protection locked="0"/>
    </xf>
    <xf numFmtId="0" fontId="0" fillId="15" borderId="12" xfId="3" applyFont="1" applyFill="1" applyBorder="1" applyAlignment="1" applyProtection="1">
      <alignment horizontal="center" vertical="center"/>
      <protection locked="0"/>
    </xf>
    <xf numFmtId="172" fontId="19" fillId="16" borderId="25" xfId="0" applyNumberFormat="1" applyFont="1" applyFill="1" applyBorder="1" applyAlignment="1">
      <alignment horizontal="center" vertical="center"/>
    </xf>
    <xf numFmtId="1" fontId="0" fillId="30" borderId="10" xfId="0" applyNumberFormat="1" applyFill="1" applyBorder="1" applyAlignment="1">
      <alignment horizontal="center" vertical="center"/>
    </xf>
    <xf numFmtId="0" fontId="9" fillId="16" borderId="19" xfId="0" applyFont="1" applyFill="1" applyBorder="1" applyAlignment="1">
      <alignment horizontal="right"/>
    </xf>
    <xf numFmtId="1" fontId="9" fillId="31" borderId="15" xfId="0" applyNumberFormat="1" applyFont="1" applyFill="1" applyBorder="1" applyAlignment="1">
      <alignment horizontal="center"/>
    </xf>
    <xf numFmtId="1" fontId="9" fillId="31" borderId="2" xfId="0" applyNumberFormat="1" applyFont="1" applyFill="1" applyBorder="1" applyAlignment="1">
      <alignment horizontal="center"/>
    </xf>
    <xf numFmtId="0" fontId="9" fillId="15" borderId="0" xfId="0" applyFont="1" applyFill="1"/>
    <xf numFmtId="170" fontId="9" fillId="16" borderId="0" xfId="0" applyNumberFormat="1" applyFont="1" applyFill="1"/>
    <xf numFmtId="1" fontId="9" fillId="0" borderId="0" xfId="0" applyNumberFormat="1" applyFont="1" applyProtection="1">
      <protection locked="0"/>
    </xf>
    <xf numFmtId="0" fontId="9" fillId="20" borderId="2" xfId="0" applyFont="1" applyFill="1" applyBorder="1" applyAlignment="1">
      <alignment horizontal="center" vertical="center"/>
    </xf>
    <xf numFmtId="0" fontId="9" fillId="20" borderId="6" xfId="0" applyFont="1" applyFill="1" applyBorder="1" applyAlignment="1">
      <alignment horizontal="center" vertical="center"/>
    </xf>
    <xf numFmtId="0" fontId="9" fillId="20" borderId="7" xfId="0" applyFont="1" applyFill="1" applyBorder="1" applyAlignment="1">
      <alignment horizontal="center" vertical="center"/>
    </xf>
    <xf numFmtId="1" fontId="39" fillId="25" borderId="10" xfId="0" applyNumberFormat="1" applyFont="1" applyFill="1" applyBorder="1" applyAlignment="1">
      <alignment horizontal="center" vertical="center"/>
    </xf>
    <xf numFmtId="0" fontId="0" fillId="0" borderId="10" xfId="0" applyBorder="1"/>
    <xf numFmtId="164" fontId="0" fillId="0" borderId="0" xfId="0" applyNumberFormat="1" applyAlignment="1" applyProtection="1">
      <alignment horizontal="center" vertical="center"/>
      <protection locked="0"/>
    </xf>
    <xf numFmtId="1" fontId="9" fillId="25" borderId="10" xfId="0" applyNumberFormat="1" applyFont="1" applyFill="1" applyBorder="1" applyAlignment="1" applyProtection="1">
      <alignment horizontal="center"/>
      <protection locked="0"/>
    </xf>
    <xf numFmtId="0" fontId="7" fillId="15" borderId="0" xfId="0" applyFont="1" applyFill="1" applyAlignment="1" applyProtection="1">
      <alignment horizontal="center"/>
      <protection locked="0"/>
    </xf>
    <xf numFmtId="1" fontId="24" fillId="15" borderId="0" xfId="0" applyNumberFormat="1" applyFont="1" applyFill="1" applyAlignment="1" applyProtection="1">
      <alignment horizontal="center"/>
      <protection locked="0"/>
    </xf>
    <xf numFmtId="166" fontId="7" fillId="15" borderId="0" xfId="0" applyNumberFormat="1" applyFont="1" applyFill="1" applyAlignment="1" applyProtection="1">
      <alignment horizontal="center"/>
      <protection locked="0"/>
    </xf>
    <xf numFmtId="2" fontId="25" fillId="15" borderId="0" xfId="0" applyNumberFormat="1" applyFont="1" applyFill="1" applyAlignment="1" applyProtection="1">
      <alignment horizontal="center"/>
      <protection locked="0"/>
    </xf>
    <xf numFmtId="2" fontId="24" fillId="15" borderId="0" xfId="0" applyNumberFormat="1" applyFont="1" applyFill="1" applyAlignment="1" applyProtection="1">
      <alignment horizontal="center"/>
      <protection locked="0"/>
    </xf>
    <xf numFmtId="166" fontId="26" fillId="15" borderId="0" xfId="0" applyNumberFormat="1" applyFont="1" applyFill="1" applyAlignment="1" applyProtection="1">
      <alignment horizontal="center"/>
      <protection locked="0"/>
    </xf>
    <xf numFmtId="173" fontId="26" fillId="15" borderId="0" xfId="0" applyNumberFormat="1" applyFont="1" applyFill="1" applyAlignment="1" applyProtection="1">
      <alignment horizontal="center"/>
      <protection locked="0"/>
    </xf>
    <xf numFmtId="173" fontId="7" fillId="15" borderId="0" xfId="0" applyNumberFormat="1" applyFont="1" applyFill="1" applyAlignment="1" applyProtection="1">
      <alignment horizontal="center"/>
      <protection locked="0"/>
    </xf>
    <xf numFmtId="173" fontId="24" fillId="15" borderId="0" xfId="0" applyNumberFormat="1" applyFont="1" applyFill="1" applyAlignment="1" applyProtection="1">
      <alignment horizontal="center"/>
      <protection locked="0"/>
    </xf>
    <xf numFmtId="0" fontId="7" fillId="15" borderId="12" xfId="0" applyFont="1" applyFill="1" applyBorder="1" applyAlignment="1" applyProtection="1">
      <alignment horizontal="center" vertical="top"/>
      <protection locked="0"/>
    </xf>
    <xf numFmtId="1" fontId="7" fillId="15" borderId="12" xfId="0" applyNumberFormat="1" applyFont="1" applyFill="1" applyBorder="1" applyAlignment="1" applyProtection="1">
      <alignment horizontal="center" vertical="top"/>
      <protection locked="0"/>
    </xf>
    <xf numFmtId="166" fontId="7" fillId="15" borderId="12" xfId="0" applyNumberFormat="1" applyFont="1" applyFill="1" applyBorder="1" applyAlignment="1" applyProtection="1">
      <alignment horizontal="center" vertical="top"/>
      <protection locked="0"/>
    </xf>
    <xf numFmtId="2" fontId="7" fillId="15" borderId="12" xfId="0" applyNumberFormat="1" applyFont="1" applyFill="1" applyBorder="1" applyAlignment="1" applyProtection="1">
      <alignment horizontal="center" vertical="top"/>
      <protection locked="0"/>
    </xf>
    <xf numFmtId="166" fontId="24" fillId="15" borderId="12" xfId="0" applyNumberFormat="1" applyFont="1" applyFill="1" applyBorder="1" applyAlignment="1" applyProtection="1">
      <alignment horizontal="center" vertical="top"/>
      <protection locked="0"/>
    </xf>
    <xf numFmtId="173" fontId="24" fillId="15" borderId="12" xfId="0" applyNumberFormat="1" applyFont="1" applyFill="1" applyBorder="1" applyAlignment="1" applyProtection="1">
      <alignment horizontal="center" vertical="top"/>
      <protection locked="0"/>
    </xf>
    <xf numFmtId="173" fontId="7" fillId="15" borderId="12" xfId="0" applyNumberFormat="1" applyFont="1" applyFill="1" applyBorder="1" applyAlignment="1" applyProtection="1">
      <alignment horizontal="center" vertical="top"/>
      <protection locked="0"/>
    </xf>
    <xf numFmtId="1" fontId="7" fillId="16" borderId="0" xfId="0" applyNumberFormat="1" applyFont="1" applyFill="1" applyAlignment="1" applyProtection="1">
      <alignment horizontal="left"/>
      <protection locked="0"/>
    </xf>
    <xf numFmtId="1" fontId="7" fillId="16" borderId="0" xfId="2" applyNumberFormat="1" applyFill="1" applyAlignment="1" applyProtection="1">
      <alignment horizontal="center"/>
      <protection locked="0"/>
    </xf>
    <xf numFmtId="166" fontId="7" fillId="16" borderId="0" xfId="2" applyNumberFormat="1" applyFill="1" applyAlignment="1" applyProtection="1">
      <alignment horizontal="center"/>
      <protection locked="0"/>
    </xf>
    <xf numFmtId="1" fontId="0" fillId="0" borderId="0" xfId="0" applyNumberFormat="1"/>
    <xf numFmtId="1" fontId="12" fillId="16" borderId="0" xfId="0" applyNumberFormat="1" applyFont="1" applyFill="1" applyAlignment="1" applyProtection="1">
      <alignment horizontal="left"/>
      <protection locked="0"/>
    </xf>
    <xf numFmtId="165" fontId="9" fillId="22" borderId="4" xfId="0" applyNumberFormat="1" applyFont="1" applyFill="1" applyBorder="1" applyAlignment="1" applyProtection="1">
      <alignment horizontal="center"/>
      <protection locked="0"/>
    </xf>
    <xf numFmtId="2" fontId="0" fillId="22" borderId="0" xfId="0" applyNumberFormat="1" applyFill="1" applyAlignment="1" applyProtection="1">
      <alignment horizontal="center"/>
      <protection locked="0"/>
    </xf>
    <xf numFmtId="0" fontId="8" fillId="24" borderId="7" xfId="0" applyFont="1" applyFill="1" applyBorder="1" applyAlignment="1" applyProtection="1">
      <alignment horizontal="center"/>
      <protection locked="0"/>
    </xf>
    <xf numFmtId="166" fontId="0" fillId="24" borderId="11" xfId="0" applyNumberFormat="1" applyFill="1" applyBorder="1" applyAlignment="1" applyProtection="1">
      <alignment horizontal="center"/>
      <protection locked="0"/>
    </xf>
    <xf numFmtId="166" fontId="0" fillId="24" borderId="14" xfId="0" applyNumberFormat="1" applyFill="1" applyBorder="1" applyAlignment="1" applyProtection="1">
      <alignment horizontal="center"/>
      <protection locked="0"/>
    </xf>
    <xf numFmtId="0" fontId="25" fillId="24" borderId="0" xfId="0" applyFont="1" applyFill="1" applyAlignment="1" applyProtection="1">
      <alignment horizontal="center"/>
      <protection locked="0"/>
    </xf>
    <xf numFmtId="166" fontId="25" fillId="24" borderId="0" xfId="0" applyNumberFormat="1" applyFont="1" applyFill="1" applyProtection="1">
      <protection locked="0"/>
    </xf>
    <xf numFmtId="1" fontId="0" fillId="24" borderId="0" xfId="0" applyNumberFormat="1" applyFill="1" applyAlignment="1" applyProtection="1">
      <alignment horizontal="center"/>
      <protection locked="0"/>
    </xf>
    <xf numFmtId="0" fontId="8" fillId="24" borderId="6" xfId="0" applyFont="1" applyFill="1" applyBorder="1" applyProtection="1">
      <protection locked="0"/>
    </xf>
    <xf numFmtId="49" fontId="7" fillId="0" borderId="0" xfId="0" applyNumberFormat="1" applyFont="1" applyAlignment="1">
      <alignment horizontal="left" wrapText="1"/>
    </xf>
    <xf numFmtId="0" fontId="0" fillId="15" borderId="0" xfId="0" applyFill="1" applyAlignment="1" applyProtection="1">
      <alignment horizontal="left"/>
      <protection locked="0"/>
    </xf>
    <xf numFmtId="0" fontId="0" fillId="51" borderId="0" xfId="0" applyFill="1" applyProtection="1">
      <protection locked="0"/>
    </xf>
    <xf numFmtId="0" fontId="0" fillId="15" borderId="4" xfId="0" applyFill="1" applyBorder="1" applyProtection="1">
      <protection locked="0"/>
    </xf>
    <xf numFmtId="164" fontId="0" fillId="0" borderId="12" xfId="0" applyNumberFormat="1" applyBorder="1" applyAlignment="1" applyProtection="1">
      <alignment horizontal="center"/>
      <protection locked="0"/>
    </xf>
    <xf numFmtId="0" fontId="0" fillId="15" borderId="12" xfId="0" applyFill="1" applyBorder="1" applyProtection="1">
      <protection locked="0"/>
    </xf>
    <xf numFmtId="0" fontId="8" fillId="51" borderId="0" xfId="0" applyFont="1" applyFill="1" applyAlignment="1" applyProtection="1">
      <alignment horizontal="left"/>
      <protection locked="0"/>
    </xf>
    <xf numFmtId="0" fontId="0" fillId="15" borderId="14" xfId="0" applyFill="1" applyBorder="1" applyProtection="1">
      <protection locked="0"/>
    </xf>
    <xf numFmtId="0" fontId="0" fillId="15" borderId="11" xfId="0" applyFill="1" applyBorder="1" applyAlignment="1" applyProtection="1">
      <alignment horizontal="left"/>
      <protection locked="0"/>
    </xf>
    <xf numFmtId="0" fontId="0" fillId="15" borderId="8" xfId="0" applyFill="1" applyBorder="1" applyProtection="1">
      <protection locked="0"/>
    </xf>
    <xf numFmtId="1" fontId="0" fillId="15" borderId="13" xfId="0" applyNumberFormat="1" applyFill="1" applyBorder="1" applyAlignment="1" applyProtection="1">
      <alignment horizontal="center"/>
      <protection locked="0"/>
    </xf>
    <xf numFmtId="1" fontId="0" fillId="15" borderId="4" xfId="0" applyNumberFormat="1" applyFill="1" applyBorder="1" applyAlignment="1" applyProtection="1">
      <alignment horizontal="center"/>
      <protection locked="0"/>
    </xf>
    <xf numFmtId="166" fontId="0" fillId="27" borderId="4" xfId="0" applyNumberFormat="1" applyFill="1" applyBorder="1" applyAlignment="1" applyProtection="1">
      <alignment horizontal="center"/>
      <protection locked="0"/>
    </xf>
    <xf numFmtId="1" fontId="7" fillId="0" borderId="4" xfId="2" applyNumberFormat="1" applyBorder="1" applyAlignment="1" applyProtection="1">
      <alignment horizontal="center"/>
      <protection locked="0"/>
    </xf>
    <xf numFmtId="1" fontId="0" fillId="0" borderId="4" xfId="0" applyNumberFormat="1" applyBorder="1" applyAlignment="1" applyProtection="1">
      <alignment horizontal="center"/>
      <protection locked="0"/>
    </xf>
    <xf numFmtId="0" fontId="18" fillId="15" borderId="12" xfId="2" applyFont="1" applyFill="1" applyBorder="1" applyAlignment="1">
      <alignment horizontal="left"/>
    </xf>
    <xf numFmtId="0" fontId="0" fillId="0" borderId="12" xfId="0" applyBorder="1" applyAlignment="1" applyProtection="1">
      <alignment horizontal="center"/>
      <protection locked="0"/>
    </xf>
    <xf numFmtId="168" fontId="0" fillId="0" borderId="0" xfId="0" applyNumberFormat="1" applyAlignment="1" applyProtection="1">
      <alignment horizontal="right"/>
      <protection locked="0"/>
    </xf>
    <xf numFmtId="1" fontId="17" fillId="16" borderId="0" xfId="0" applyNumberFormat="1" applyFont="1" applyFill="1" applyAlignment="1">
      <alignment horizontal="center"/>
    </xf>
    <xf numFmtId="164" fontId="17" fillId="16" borderId="0" xfId="0" applyNumberFormat="1" applyFont="1" applyFill="1" applyAlignment="1">
      <alignment horizontal="center"/>
    </xf>
    <xf numFmtId="1" fontId="0" fillId="51" borderId="6" xfId="0" applyNumberFormat="1" applyFill="1" applyBorder="1" applyAlignment="1">
      <alignment horizontal="center"/>
    </xf>
    <xf numFmtId="1" fontId="0" fillId="51" borderId="7" xfId="0" applyNumberFormat="1" applyFill="1" applyBorder="1" applyAlignment="1">
      <alignment horizontal="center"/>
    </xf>
    <xf numFmtId="1" fontId="0" fillId="51" borderId="8" xfId="0" applyNumberFormat="1" applyFill="1" applyBorder="1" applyAlignment="1">
      <alignment horizontal="center"/>
    </xf>
    <xf numFmtId="1" fontId="0" fillId="51" borderId="0" xfId="0" applyNumberFormat="1" applyFill="1" applyAlignment="1">
      <alignment horizontal="center"/>
    </xf>
    <xf numFmtId="1" fontId="0" fillId="51" borderId="13" xfId="0" applyNumberFormat="1" applyFill="1" applyBorder="1" applyAlignment="1">
      <alignment horizontal="center"/>
    </xf>
    <xf numFmtId="1" fontId="0" fillId="51" borderId="12" xfId="0" applyNumberFormat="1" applyFill="1" applyBorder="1" applyAlignment="1">
      <alignment horizontal="center"/>
    </xf>
    <xf numFmtId="1" fontId="0" fillId="51" borderId="14" xfId="0" applyNumberFormat="1" applyFill="1" applyBorder="1" applyAlignment="1">
      <alignment horizontal="center"/>
    </xf>
    <xf numFmtId="1" fontId="8" fillId="51" borderId="11" xfId="0" applyNumberFormat="1" applyFont="1" applyFill="1" applyBorder="1" applyAlignment="1">
      <alignment horizontal="center"/>
    </xf>
    <xf numFmtId="166" fontId="7" fillId="15" borderId="0" xfId="0" applyNumberFormat="1" applyFont="1" applyFill="1" applyAlignment="1">
      <alignment horizontal="center"/>
    </xf>
    <xf numFmtId="165" fontId="0" fillId="15" borderId="0" xfId="0" applyNumberFormat="1" applyFill="1" applyAlignment="1">
      <alignment horizontal="center"/>
    </xf>
    <xf numFmtId="1" fontId="9" fillId="23" borderId="10" xfId="0" applyNumberFormat="1" applyFont="1" applyFill="1" applyBorder="1" applyAlignment="1" applyProtection="1">
      <alignment horizontal="center"/>
      <protection locked="0"/>
    </xf>
    <xf numFmtId="0" fontId="10" fillId="15" borderId="0" xfId="0" applyFont="1" applyFill="1" applyProtection="1">
      <protection locked="0"/>
    </xf>
    <xf numFmtId="11" fontId="0" fillId="0" borderId="12" xfId="0" applyNumberFormat="1" applyBorder="1" applyAlignment="1" applyProtection="1">
      <alignment horizontal="center"/>
      <protection locked="0"/>
    </xf>
    <xf numFmtId="1" fontId="0" fillId="16" borderId="0" xfId="0" applyNumberFormat="1" applyFill="1" applyAlignment="1" applyProtection="1">
      <alignment horizontal="center"/>
      <protection locked="0"/>
    </xf>
    <xf numFmtId="1" fontId="8" fillId="16" borderId="0" xfId="0" applyNumberFormat="1" applyFont="1" applyFill="1" applyProtection="1">
      <protection locked="0"/>
    </xf>
    <xf numFmtId="0" fontId="30" fillId="0" borderId="0" xfId="0" applyFont="1"/>
    <xf numFmtId="49" fontId="17" fillId="15" borderId="0" xfId="0" applyNumberFormat="1" applyFont="1" applyFill="1" applyAlignment="1" applyProtection="1">
      <alignment horizontal="right" vertical="center" indent="1"/>
      <protection locked="0"/>
    </xf>
    <xf numFmtId="1" fontId="17" fillId="15" borderId="0" xfId="0" applyNumberFormat="1" applyFont="1" applyFill="1" applyAlignment="1" applyProtection="1">
      <alignment horizontal="right" vertical="center" indent="1"/>
      <protection locked="0"/>
    </xf>
    <xf numFmtId="0" fontId="61" fillId="51" borderId="0" xfId="0" applyFont="1" applyFill="1" applyAlignment="1" applyProtection="1">
      <alignment horizontal="left"/>
      <protection locked="0"/>
    </xf>
    <xf numFmtId="2" fontId="63" fillId="51" borderId="0" xfId="0" applyNumberFormat="1" applyFont="1" applyFill="1" applyAlignment="1" applyProtection="1">
      <alignment horizontal="center"/>
      <protection locked="0"/>
    </xf>
    <xf numFmtId="0" fontId="0" fillId="51" borderId="10" xfId="0" applyFill="1" applyBorder="1" applyAlignment="1" applyProtection="1">
      <alignment horizontal="center"/>
      <protection locked="0"/>
    </xf>
    <xf numFmtId="20" fontId="62" fillId="51" borderId="0" xfId="0" applyNumberFormat="1" applyFont="1" applyFill="1" applyAlignment="1" applyProtection="1">
      <alignment horizontal="right"/>
      <protection locked="0"/>
    </xf>
    <xf numFmtId="0" fontId="8" fillId="51" borderId="0" xfId="0" applyFont="1" applyFill="1" applyAlignment="1" applyProtection="1">
      <alignment horizontal="left" indent="1"/>
      <protection locked="0"/>
    </xf>
    <xf numFmtId="0" fontId="0" fillId="0" borderId="0" xfId="0" applyAlignment="1" applyProtection="1">
      <alignment horizontal="right" indent="1"/>
      <protection locked="0"/>
    </xf>
    <xf numFmtId="0" fontId="8" fillId="15" borderId="8" xfId="0" applyFont="1" applyFill="1" applyBorder="1" applyAlignment="1" applyProtection="1">
      <alignment horizontal="center"/>
      <protection locked="0"/>
    </xf>
    <xf numFmtId="1" fontId="0" fillId="15" borderId="11" xfId="0" applyNumberFormat="1" applyFill="1" applyBorder="1" applyAlignment="1" applyProtection="1">
      <alignment horizontal="center"/>
      <protection locked="0"/>
    </xf>
    <xf numFmtId="169" fontId="0" fillId="15" borderId="13" xfId="0" applyNumberFormat="1" applyFill="1" applyBorder="1" applyAlignment="1" applyProtection="1">
      <alignment horizontal="center"/>
      <protection locked="0"/>
    </xf>
    <xf numFmtId="0" fontId="38" fillId="15" borderId="12" xfId="0" applyFont="1" applyFill="1" applyBorder="1" applyAlignment="1" applyProtection="1">
      <alignment horizontal="center"/>
      <protection locked="0"/>
    </xf>
    <xf numFmtId="167" fontId="17" fillId="15" borderId="12" xfId="0" applyNumberFormat="1" applyFont="1" applyFill="1" applyBorder="1" applyAlignment="1" applyProtection="1">
      <alignment horizontal="center"/>
      <protection locked="0"/>
    </xf>
    <xf numFmtId="0" fontId="8" fillId="15" borderId="12" xfId="0" applyFont="1" applyFill="1" applyBorder="1" applyAlignment="1" applyProtection="1">
      <alignment horizontal="center"/>
      <protection locked="0"/>
    </xf>
    <xf numFmtId="165" fontId="0" fillId="15" borderId="12" xfId="0" applyNumberFormat="1" applyFill="1" applyBorder="1" applyAlignment="1" applyProtection="1">
      <alignment horizontal="center"/>
      <protection locked="0"/>
    </xf>
    <xf numFmtId="0" fontId="61" fillId="15" borderId="0" xfId="0" applyFont="1" applyFill="1" applyAlignment="1" applyProtection="1">
      <alignment horizontal="center"/>
      <protection locked="0"/>
    </xf>
    <xf numFmtId="0" fontId="40" fillId="51" borderId="0" xfId="0" applyFont="1" applyFill="1" applyAlignment="1" applyProtection="1">
      <alignment horizontal="center"/>
      <protection locked="0"/>
    </xf>
    <xf numFmtId="1" fontId="40" fillId="51" borderId="0" xfId="0" applyNumberFormat="1" applyFont="1" applyFill="1" applyAlignment="1" applyProtection="1">
      <alignment horizontal="center"/>
      <protection locked="0"/>
    </xf>
    <xf numFmtId="2" fontId="68" fillId="51" borderId="0" xfId="0" applyNumberFormat="1" applyFont="1" applyFill="1" applyAlignment="1" applyProtection="1">
      <alignment horizontal="center"/>
      <protection locked="0"/>
    </xf>
    <xf numFmtId="0" fontId="68" fillId="51" borderId="0" xfId="0" applyFont="1" applyFill="1" applyProtection="1">
      <protection locked="0"/>
    </xf>
    <xf numFmtId="0" fontId="0" fillId="51" borderId="0" xfId="0" applyFill="1" applyAlignment="1" applyProtection="1">
      <alignment horizontal="center"/>
      <protection locked="0"/>
    </xf>
    <xf numFmtId="0" fontId="0" fillId="15" borderId="0" xfId="0" applyFill="1" applyAlignment="1" applyProtection="1">
      <alignment horizontal="center" vertical="center"/>
      <protection locked="0"/>
    </xf>
    <xf numFmtId="1" fontId="0" fillId="51" borderId="4" xfId="0" applyNumberFormat="1" applyFill="1" applyBorder="1" applyAlignment="1">
      <alignment horizontal="left" indent="1"/>
    </xf>
    <xf numFmtId="0" fontId="11" fillId="15" borderId="0" xfId="0" applyFont="1" applyFill="1" applyProtection="1">
      <protection locked="0"/>
    </xf>
    <xf numFmtId="0" fontId="7" fillId="0" borderId="13" xfId="0" applyFont="1" applyBorder="1" applyAlignment="1">
      <alignment horizontal="center"/>
    </xf>
    <xf numFmtId="0" fontId="0" fillId="0" borderId="12" xfId="0" applyBorder="1" applyAlignment="1">
      <alignment horizontal="center"/>
    </xf>
    <xf numFmtId="0" fontId="7" fillId="0" borderId="12" xfId="0" applyFont="1" applyBorder="1" applyAlignment="1">
      <alignment horizontal="center"/>
    </xf>
    <xf numFmtId="0" fontId="0" fillId="0" borderId="14" xfId="0" applyBorder="1" applyAlignment="1">
      <alignment horizontal="center"/>
    </xf>
    <xf numFmtId="0" fontId="0" fillId="0" borderId="6" xfId="0" applyBorder="1" applyAlignment="1">
      <alignment horizontal="left"/>
    </xf>
    <xf numFmtId="0" fontId="7" fillId="0" borderId="0" xfId="0" applyFont="1" applyAlignment="1">
      <alignment horizontal="center"/>
    </xf>
    <xf numFmtId="0" fontId="7" fillId="20" borderId="5" xfId="0" applyFont="1" applyFill="1" applyBorder="1" applyAlignment="1">
      <alignment horizontal="center"/>
    </xf>
    <xf numFmtId="0" fontId="0" fillId="15" borderId="0" xfId="0" applyFill="1" applyAlignment="1">
      <alignment horizontal="center"/>
    </xf>
    <xf numFmtId="0" fontId="0" fillId="15" borderId="4" xfId="0" applyFill="1" applyBorder="1" applyAlignment="1">
      <alignment horizontal="left"/>
    </xf>
    <xf numFmtId="2" fontId="0" fillId="15" borderId="13" xfId="0" applyNumberFormat="1" applyFill="1" applyBorder="1" applyAlignment="1" applyProtection="1">
      <alignment horizontal="center"/>
      <protection locked="0"/>
    </xf>
    <xf numFmtId="0" fontId="0" fillId="15" borderId="4" xfId="0" applyFill="1" applyBorder="1" applyAlignment="1" applyProtection="1">
      <alignment horizontal="center"/>
      <protection locked="0"/>
    </xf>
    <xf numFmtId="164" fontId="7" fillId="0" borderId="4" xfId="2" applyNumberFormat="1" applyBorder="1" applyAlignment="1" applyProtection="1">
      <alignment horizontal="center"/>
      <protection locked="0"/>
    </xf>
    <xf numFmtId="0" fontId="70" fillId="15" borderId="0" xfId="0" applyFont="1" applyFill="1" applyAlignment="1" applyProtection="1">
      <alignment horizontal="left"/>
      <protection locked="0"/>
    </xf>
    <xf numFmtId="2" fontId="7" fillId="15" borderId="13" xfId="0" applyNumberFormat="1" applyFont="1" applyFill="1" applyBorder="1" applyAlignment="1">
      <alignment horizontal="center" vertical="center"/>
    </xf>
    <xf numFmtId="2" fontId="7" fillId="15" borderId="4" xfId="0" applyNumberFormat="1" applyFont="1" applyFill="1" applyBorder="1" applyAlignment="1">
      <alignment horizontal="center" vertical="center"/>
    </xf>
    <xf numFmtId="2" fontId="7" fillId="15" borderId="9" xfId="0" applyNumberFormat="1" applyFont="1" applyFill="1" applyBorder="1" applyAlignment="1">
      <alignment horizontal="center" vertical="center"/>
    </xf>
    <xf numFmtId="165" fontId="0" fillId="19" borderId="0" xfId="0" applyNumberFormat="1" applyFill="1" applyAlignment="1" applyProtection="1">
      <alignment horizontal="center"/>
      <protection locked="0"/>
    </xf>
    <xf numFmtId="165" fontId="9" fillId="16" borderId="0" xfId="0" applyNumberFormat="1" applyFont="1" applyFill="1" applyAlignment="1">
      <alignment horizontal="center" vertical="center"/>
    </xf>
    <xf numFmtId="0" fontId="71" fillId="16" borderId="0" xfId="0" applyFont="1" applyFill="1" applyAlignment="1" applyProtection="1">
      <alignment horizontal="left"/>
      <protection locked="0"/>
    </xf>
    <xf numFmtId="1" fontId="0" fillId="17" borderId="12" xfId="0" applyNumberFormat="1" applyFill="1" applyBorder="1" applyAlignment="1" applyProtection="1">
      <alignment horizontal="center"/>
      <protection locked="0"/>
    </xf>
    <xf numFmtId="0" fontId="0" fillId="16" borderId="12" xfId="3" applyFont="1" applyFill="1" applyBorder="1" applyAlignment="1" applyProtection="1">
      <alignment horizontal="center"/>
      <protection locked="0"/>
    </xf>
    <xf numFmtId="1" fontId="0" fillId="15" borderId="4" xfId="0" applyNumberFormat="1" applyFill="1" applyBorder="1" applyAlignment="1">
      <alignment horizontal="center"/>
    </xf>
    <xf numFmtId="0" fontId="8" fillId="20" borderId="15" xfId="0" applyFont="1" applyFill="1" applyBorder="1" applyAlignment="1">
      <alignment horizontal="center" vertical="center"/>
    </xf>
    <xf numFmtId="166" fontId="0" fillId="30" borderId="0" xfId="0" applyNumberFormat="1" applyFill="1" applyAlignment="1">
      <alignment horizontal="center"/>
    </xf>
    <xf numFmtId="167" fontId="9" fillId="15" borderId="0" xfId="0" applyNumberFormat="1" applyFont="1" applyFill="1"/>
    <xf numFmtId="166" fontId="7" fillId="16" borderId="7" xfId="0" applyNumberFormat="1" applyFont="1" applyFill="1" applyBorder="1" applyAlignment="1">
      <alignment horizontal="center" vertical="center"/>
    </xf>
    <xf numFmtId="166" fontId="7" fillId="16" borderId="12" xfId="0" applyNumberFormat="1" applyFont="1" applyFill="1" applyBorder="1" applyAlignment="1">
      <alignment horizontal="center"/>
    </xf>
    <xf numFmtId="166" fontId="7" fillId="16" borderId="8" xfId="0" applyNumberFormat="1" applyFont="1" applyFill="1" applyBorder="1" applyAlignment="1">
      <alignment horizontal="center" vertical="center"/>
    </xf>
    <xf numFmtId="0" fontId="0" fillId="19" borderId="4" xfId="0" applyFill="1" applyBorder="1" applyAlignment="1">
      <alignment horizontal="left" vertical="center" indent="1"/>
    </xf>
    <xf numFmtId="165" fontId="9" fillId="26" borderId="10" xfId="0" quotePrefix="1" applyNumberFormat="1" applyFont="1" applyFill="1" applyBorder="1" applyAlignment="1">
      <alignment horizontal="center" vertical="center"/>
    </xf>
    <xf numFmtId="0" fontId="11" fillId="18" borderId="10" xfId="0" applyFont="1" applyFill="1" applyBorder="1" applyAlignment="1" applyProtection="1">
      <alignment horizontal="center" vertical="center"/>
      <protection locked="0"/>
    </xf>
    <xf numFmtId="0" fontId="9" fillId="15" borderId="19" xfId="0" applyFont="1" applyFill="1" applyBorder="1"/>
    <xf numFmtId="1" fontId="9" fillId="15" borderId="0" xfId="0" applyNumberFormat="1" applyFont="1" applyFill="1" applyAlignment="1">
      <alignment horizontal="left"/>
    </xf>
    <xf numFmtId="0" fontId="7" fillId="15" borderId="0" xfId="0" applyFont="1" applyFill="1" applyProtection="1">
      <protection locked="0"/>
    </xf>
    <xf numFmtId="164" fontId="17" fillId="15" borderId="0" xfId="0" applyNumberFormat="1" applyFont="1" applyFill="1" applyAlignment="1">
      <alignment horizontal="center"/>
    </xf>
    <xf numFmtId="1" fontId="17" fillId="15" borderId="0" xfId="0" applyNumberFormat="1" applyFont="1" applyFill="1" applyAlignment="1">
      <alignment horizontal="center"/>
    </xf>
    <xf numFmtId="1" fontId="15" fillId="15" borderId="0" xfId="0" applyNumberFormat="1" applyFont="1" applyFill="1" applyAlignment="1">
      <alignment horizontal="left"/>
    </xf>
    <xf numFmtId="0" fontId="9" fillId="15" borderId="6" xfId="0" applyFont="1" applyFill="1" applyBorder="1"/>
    <xf numFmtId="167" fontId="9" fillId="15" borderId="7" xfId="0" applyNumberFormat="1" applyFont="1" applyFill="1" applyBorder="1"/>
    <xf numFmtId="0" fontId="9" fillId="15" borderId="7" xfId="0" applyFont="1" applyFill="1" applyBorder="1" applyProtection="1">
      <protection locked="0"/>
    </xf>
    <xf numFmtId="0" fontId="9" fillId="15" borderId="8" xfId="0" applyFont="1" applyFill="1" applyBorder="1" applyProtection="1">
      <protection locked="0"/>
    </xf>
    <xf numFmtId="0" fontId="9" fillId="15" borderId="4" xfId="0" applyFont="1" applyFill="1" applyBorder="1"/>
    <xf numFmtId="166" fontId="7" fillId="16" borderId="11" xfId="0" applyNumberFormat="1" applyFont="1" applyFill="1" applyBorder="1" applyAlignment="1">
      <alignment horizontal="center"/>
    </xf>
    <xf numFmtId="1" fontId="0" fillId="16" borderId="11" xfId="0" applyNumberFormat="1" applyFill="1" applyBorder="1" applyAlignment="1">
      <alignment horizontal="center"/>
    </xf>
    <xf numFmtId="166" fontId="7" fillId="15" borderId="11" xfId="0" applyNumberFormat="1" applyFont="1" applyFill="1" applyBorder="1" applyAlignment="1">
      <alignment horizontal="center"/>
    </xf>
    <xf numFmtId="166" fontId="0" fillId="16" borderId="11" xfId="0" applyNumberFormat="1" applyFill="1" applyBorder="1" applyAlignment="1">
      <alignment horizontal="center"/>
    </xf>
    <xf numFmtId="0" fontId="9" fillId="15" borderId="13" xfId="0" applyFont="1" applyFill="1" applyBorder="1"/>
    <xf numFmtId="166" fontId="0" fillId="16" borderId="12" xfId="0" applyNumberFormat="1" applyFill="1" applyBorder="1" applyAlignment="1">
      <alignment horizontal="center"/>
    </xf>
    <xf numFmtId="166" fontId="0" fillId="16" borderId="14" xfId="0" applyNumberFormat="1" applyFill="1" applyBorder="1" applyAlignment="1">
      <alignment horizontal="center"/>
    </xf>
    <xf numFmtId="1" fontId="9" fillId="31" borderId="3" xfId="0" applyNumberFormat="1" applyFont="1" applyFill="1" applyBorder="1" applyAlignment="1">
      <alignment horizontal="center"/>
    </xf>
    <xf numFmtId="0" fontId="0" fillId="15" borderId="11" xfId="0" applyFill="1" applyBorder="1" applyAlignment="1">
      <alignment horizontal="center"/>
    </xf>
    <xf numFmtId="0" fontId="8" fillId="15" borderId="13" xfId="0" applyFont="1" applyFill="1" applyBorder="1" applyAlignment="1">
      <alignment horizontal="center"/>
    </xf>
    <xf numFmtId="0" fontId="8" fillId="15" borderId="13" xfId="0" applyFont="1" applyFill="1" applyBorder="1" applyAlignment="1">
      <alignment horizontal="left"/>
    </xf>
    <xf numFmtId="2" fontId="7" fillId="15" borderId="21" xfId="0" applyNumberFormat="1" applyFont="1" applyFill="1" applyBorder="1" applyAlignment="1">
      <alignment horizontal="center" vertical="center"/>
    </xf>
    <xf numFmtId="2" fontId="7" fillId="15" borderId="22" xfId="0" applyNumberFormat="1" applyFont="1" applyFill="1" applyBorder="1" applyAlignment="1">
      <alignment horizontal="center" vertical="center"/>
    </xf>
    <xf numFmtId="0" fontId="0" fillId="15" borderId="12" xfId="0" applyFill="1" applyBorder="1" applyAlignment="1" applyProtection="1">
      <alignment horizontal="left"/>
      <protection locked="0"/>
    </xf>
    <xf numFmtId="0" fontId="0" fillId="0" borderId="4" xfId="0" applyBorder="1" applyAlignment="1" applyProtection="1">
      <alignment horizontal="center"/>
      <protection locked="0"/>
    </xf>
    <xf numFmtId="165" fontId="0" fillId="27" borderId="4" xfId="0" applyNumberFormat="1" applyFill="1" applyBorder="1" applyAlignment="1" applyProtection="1">
      <alignment horizontal="center"/>
      <protection locked="0"/>
    </xf>
    <xf numFmtId="165" fontId="0" fillId="27" borderId="0" xfId="0" applyNumberFormat="1" applyFill="1" applyAlignment="1" applyProtection="1">
      <alignment horizontal="center"/>
      <protection locked="0"/>
    </xf>
    <xf numFmtId="0" fontId="0" fillId="15" borderId="11" xfId="0" applyFill="1" applyBorder="1" applyAlignment="1">
      <alignment horizontal="left"/>
    </xf>
    <xf numFmtId="2" fontId="0" fillId="15" borderId="14" xfId="0" applyNumberFormat="1" applyFill="1" applyBorder="1" applyAlignment="1" applyProtection="1">
      <alignment horizontal="center"/>
      <protection locked="0"/>
    </xf>
    <xf numFmtId="2" fontId="0" fillId="15" borderId="11" xfId="0" applyNumberFormat="1" applyFill="1" applyBorder="1" applyAlignment="1" applyProtection="1">
      <alignment horizontal="center"/>
      <protection locked="0"/>
    </xf>
    <xf numFmtId="165" fontId="0" fillId="27" borderId="11" xfId="0" applyNumberFormat="1" applyFill="1" applyBorder="1" applyAlignment="1" applyProtection="1">
      <alignment horizontal="center"/>
      <protection locked="0"/>
    </xf>
    <xf numFmtId="2" fontId="7" fillId="0" borderId="11" xfId="2" applyNumberFormat="1" applyBorder="1" applyAlignment="1" applyProtection="1">
      <alignment horizontal="center"/>
      <protection locked="0"/>
    </xf>
    <xf numFmtId="0" fontId="0" fillId="0" borderId="11" xfId="0" applyBorder="1" applyAlignment="1" applyProtection="1">
      <alignment horizontal="center"/>
      <protection locked="0"/>
    </xf>
    <xf numFmtId="164" fontId="7" fillId="0" borderId="0" xfId="2" applyNumberFormat="1" applyAlignment="1" applyProtection="1">
      <alignment horizontal="center"/>
      <protection locked="0"/>
    </xf>
    <xf numFmtId="0" fontId="0" fillId="0" borderId="7" xfId="0" applyBorder="1" applyProtection="1">
      <protection locked="0"/>
    </xf>
    <xf numFmtId="165" fontId="0" fillId="0" borderId="0" xfId="0" applyNumberFormat="1" applyProtection="1">
      <protection locked="0"/>
    </xf>
    <xf numFmtId="165" fontId="0" fillId="19" borderId="0" xfId="0" applyNumberFormat="1" applyFill="1" applyAlignment="1">
      <alignment horizontal="center" vertical="center"/>
    </xf>
    <xf numFmtId="165" fontId="9" fillId="31" borderId="4" xfId="0" applyNumberFormat="1" applyFont="1" applyFill="1" applyBorder="1" applyAlignment="1" applyProtection="1">
      <alignment horizontal="center"/>
      <protection locked="0"/>
    </xf>
    <xf numFmtId="165" fontId="9" fillId="31" borderId="11" xfId="0" applyNumberFormat="1" applyFont="1" applyFill="1" applyBorder="1" applyAlignment="1" applyProtection="1">
      <alignment horizontal="center"/>
      <protection locked="0"/>
    </xf>
    <xf numFmtId="0" fontId="7" fillId="16" borderId="0" xfId="0" applyFont="1" applyFill="1" applyAlignment="1">
      <alignment horizontal="left"/>
    </xf>
    <xf numFmtId="165" fontId="9" fillId="31" borderId="5" xfId="0" applyNumberFormat="1" applyFont="1" applyFill="1" applyBorder="1" applyAlignment="1" applyProtection="1">
      <alignment horizontal="center"/>
      <protection locked="0"/>
    </xf>
    <xf numFmtId="166" fontId="7" fillId="15" borderId="12" xfId="0" applyNumberFormat="1" applyFont="1" applyFill="1" applyBorder="1" applyAlignment="1">
      <alignment horizontal="center"/>
    </xf>
    <xf numFmtId="165" fontId="8" fillId="23" borderId="5" xfId="0" applyNumberFormat="1" applyFont="1" applyFill="1" applyBorder="1" applyAlignment="1" applyProtection="1">
      <alignment horizontal="center"/>
      <protection locked="0"/>
    </xf>
    <xf numFmtId="165" fontId="8" fillId="30" borderId="10" xfId="0" applyNumberFormat="1" applyFont="1" applyFill="1" applyBorder="1" applyAlignment="1" applyProtection="1">
      <alignment horizontal="center" vertical="center"/>
      <protection locked="0"/>
    </xf>
    <xf numFmtId="171" fontId="8" fillId="15" borderId="10" xfId="0" applyNumberFormat="1" applyFont="1" applyFill="1" applyBorder="1" applyAlignment="1" applyProtection="1">
      <alignment horizontal="center" vertical="center"/>
      <protection locked="0"/>
    </xf>
    <xf numFmtId="165" fontId="8" fillId="52" borderId="34" xfId="0" applyNumberFormat="1" applyFont="1" applyFill="1" applyBorder="1" applyAlignment="1" applyProtection="1">
      <alignment horizontal="center" vertical="center"/>
      <protection locked="0"/>
    </xf>
    <xf numFmtId="169" fontId="58" fillId="51" borderId="37" xfId="0" applyNumberFormat="1" applyFont="1" applyFill="1" applyBorder="1" applyAlignment="1" applyProtection="1">
      <alignment horizontal="center" vertical="center"/>
      <protection locked="0"/>
    </xf>
    <xf numFmtId="169" fontId="58" fillId="51" borderId="38" xfId="0" applyNumberFormat="1" applyFont="1" applyFill="1" applyBorder="1" applyAlignment="1" applyProtection="1">
      <alignment horizontal="center" vertical="center"/>
      <protection locked="0"/>
    </xf>
    <xf numFmtId="169" fontId="58" fillId="51" borderId="39" xfId="0" applyNumberFormat="1" applyFont="1" applyFill="1" applyBorder="1" applyAlignment="1" applyProtection="1">
      <alignment horizontal="center" vertical="center"/>
      <protection locked="0"/>
    </xf>
    <xf numFmtId="169" fontId="58" fillId="51" borderId="45" xfId="0" applyNumberFormat="1" applyFont="1" applyFill="1" applyBorder="1" applyAlignment="1" applyProtection="1">
      <alignment horizontal="center" vertical="center"/>
      <protection locked="0"/>
    </xf>
    <xf numFmtId="169" fontId="58" fillId="51" borderId="46" xfId="0" applyNumberFormat="1" applyFont="1" applyFill="1" applyBorder="1" applyAlignment="1" applyProtection="1">
      <alignment horizontal="center" vertical="center"/>
      <protection locked="0"/>
    </xf>
    <xf numFmtId="169" fontId="58" fillId="51" borderId="47" xfId="0" applyNumberFormat="1" applyFont="1" applyFill="1" applyBorder="1" applyAlignment="1" applyProtection="1">
      <alignment horizontal="center" vertical="center"/>
      <protection locked="0"/>
    </xf>
    <xf numFmtId="165" fontId="8" fillId="23" borderId="5" xfId="0" applyNumberFormat="1" applyFont="1" applyFill="1" applyBorder="1" applyAlignment="1" applyProtection="1">
      <alignment horizontal="center" vertical="center"/>
      <protection locked="0"/>
    </xf>
    <xf numFmtId="2" fontId="0" fillId="31" borderId="10" xfId="0"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vertical="center"/>
      <protection locked="0"/>
    </xf>
    <xf numFmtId="2" fontId="8" fillId="23" borderId="9" xfId="1" applyNumberFormat="1" applyFont="1" applyFill="1" applyBorder="1" applyAlignment="1" applyProtection="1">
      <alignment horizontal="center" vertical="center"/>
      <protection locked="0"/>
    </xf>
    <xf numFmtId="2" fontId="8" fillId="16" borderId="35" xfId="0" applyNumberFormat="1" applyFont="1" applyFill="1" applyBorder="1" applyAlignment="1">
      <alignment horizontal="center"/>
    </xf>
    <xf numFmtId="164" fontId="0" fillId="16" borderId="16" xfId="0" applyNumberFormat="1" applyFill="1" applyBorder="1" applyAlignment="1">
      <alignment horizontal="center"/>
    </xf>
    <xf numFmtId="164" fontId="0" fillId="16" borderId="9" xfId="0" applyNumberFormat="1" applyFill="1" applyBorder="1" applyAlignment="1">
      <alignment horizontal="center"/>
    </xf>
    <xf numFmtId="1" fontId="0" fillId="15" borderId="0" xfId="0" applyNumberFormat="1" applyFill="1" applyProtection="1">
      <protection locked="0"/>
    </xf>
    <xf numFmtId="164" fontId="0" fillId="15" borderId="0" xfId="0" applyNumberFormat="1" applyFill="1" applyAlignment="1" applyProtection="1">
      <alignment horizontal="center" vertical="center"/>
      <protection locked="0"/>
    </xf>
    <xf numFmtId="0" fontId="7" fillId="20" borderId="14" xfId="0" applyFont="1" applyFill="1" applyBorder="1" applyAlignment="1">
      <alignment horizontal="center"/>
    </xf>
    <xf numFmtId="0" fontId="8" fillId="20" borderId="12" xfId="0" applyFont="1" applyFill="1" applyBorder="1" applyAlignment="1">
      <alignment horizontal="center"/>
    </xf>
    <xf numFmtId="0" fontId="8" fillId="20" borderId="13" xfId="0" applyFont="1" applyFill="1" applyBorder="1" applyAlignment="1">
      <alignment horizontal="center"/>
    </xf>
    <xf numFmtId="2" fontId="9" fillId="16" borderId="12" xfId="0" applyNumberFormat="1" applyFont="1" applyFill="1" applyBorder="1" applyAlignment="1">
      <alignment horizontal="center" vertical="center"/>
    </xf>
    <xf numFmtId="16" fontId="0" fillId="20" borderId="13" xfId="0" applyNumberFormat="1" applyFill="1" applyBorder="1" applyAlignment="1">
      <alignment horizontal="center"/>
    </xf>
    <xf numFmtId="0" fontId="0" fillId="20" borderId="12" xfId="0" applyFill="1" applyBorder="1" applyAlignment="1">
      <alignment horizontal="center"/>
    </xf>
    <xf numFmtId="165" fontId="8" fillId="23" borderId="9" xfId="1" applyNumberFormat="1" applyFont="1" applyFill="1" applyBorder="1" applyAlignment="1" applyProtection="1">
      <alignment horizontal="center" vertical="center"/>
      <protection locked="0"/>
    </xf>
    <xf numFmtId="165" fontId="8" fillId="0" borderId="0" xfId="0" applyNumberFormat="1" applyFont="1" applyProtection="1">
      <protection locked="0"/>
    </xf>
    <xf numFmtId="2" fontId="8" fillId="19" borderId="0" xfId="0" applyNumberFormat="1" applyFont="1" applyFill="1" applyAlignment="1">
      <alignment horizontal="center"/>
    </xf>
    <xf numFmtId="166" fontId="0" fillId="0" borderId="12" xfId="0" applyNumberFormat="1" applyBorder="1" applyAlignment="1" applyProtection="1">
      <alignment horizontal="center"/>
      <protection locked="0"/>
    </xf>
    <xf numFmtId="166" fontId="8" fillId="0" borderId="0" xfId="0" applyNumberFormat="1" applyFont="1" applyAlignment="1" applyProtection="1">
      <alignment horizontal="center"/>
      <protection locked="0"/>
    </xf>
    <xf numFmtId="0" fontId="0" fillId="23" borderId="0" xfId="0" applyFill="1" applyProtection="1">
      <protection locked="0"/>
    </xf>
    <xf numFmtId="0" fontId="8" fillId="23" borderId="0" xfId="0" applyFont="1" applyFill="1" applyProtection="1">
      <protection locked="0"/>
    </xf>
    <xf numFmtId="2" fontId="0" fillId="19" borderId="0" xfId="0" applyNumberFormat="1" applyFill="1" applyAlignment="1">
      <alignment horizontal="center"/>
    </xf>
    <xf numFmtId="2" fontId="0" fillId="19" borderId="12" xfId="0" applyNumberFormat="1" applyFill="1" applyBorder="1" applyAlignment="1">
      <alignment horizontal="center"/>
    </xf>
    <xf numFmtId="166" fontId="8" fillId="29" borderId="10" xfId="0" applyNumberFormat="1" applyFont="1" applyFill="1" applyBorder="1" applyAlignment="1" applyProtection="1">
      <alignment horizontal="center"/>
      <protection locked="0"/>
    </xf>
    <xf numFmtId="0" fontId="0" fillId="15" borderId="6" xfId="0" applyFill="1" applyBorder="1"/>
    <xf numFmtId="165" fontId="0" fillId="15" borderId="7" xfId="0" applyNumberFormat="1" applyFill="1" applyBorder="1"/>
    <xf numFmtId="165" fontId="0" fillId="15" borderId="7" xfId="0" applyNumberFormat="1" applyFill="1" applyBorder="1" applyAlignment="1">
      <alignment horizontal="center"/>
    </xf>
    <xf numFmtId="0" fontId="0" fillId="15" borderId="7" xfId="0" applyFill="1" applyBorder="1"/>
    <xf numFmtId="0" fontId="0" fillId="15" borderId="8" xfId="0" applyFill="1" applyBorder="1"/>
    <xf numFmtId="0" fontId="0" fillId="15" borderId="4" xfId="0" applyFill="1" applyBorder="1"/>
    <xf numFmtId="165" fontId="0" fillId="15" borderId="0" xfId="0" applyNumberFormat="1" applyFill="1"/>
    <xf numFmtId="0" fontId="0" fillId="15" borderId="11" xfId="0" applyFill="1" applyBorder="1"/>
    <xf numFmtId="0" fontId="0" fillId="15" borderId="13" xfId="0" applyFill="1" applyBorder="1"/>
    <xf numFmtId="165" fontId="0" fillId="15" borderId="12" xfId="0" applyNumberFormat="1" applyFill="1" applyBorder="1"/>
    <xf numFmtId="0" fontId="0" fillId="15" borderId="12" xfId="0" applyFill="1" applyBorder="1"/>
    <xf numFmtId="165" fontId="0" fillId="15" borderId="12" xfId="0" applyNumberFormat="1" applyFill="1" applyBorder="1" applyAlignment="1">
      <alignment horizontal="center"/>
    </xf>
    <xf numFmtId="0" fontId="0" fillId="15" borderId="14" xfId="0" applyFill="1" applyBorder="1"/>
    <xf numFmtId="1" fontId="0" fillId="15" borderId="0" xfId="0" applyNumberFormat="1" applyFill="1" applyAlignment="1">
      <alignment horizontal="right"/>
    </xf>
    <xf numFmtId="2" fontId="7" fillId="15" borderId="0" xfId="0" applyNumberFormat="1" applyFont="1" applyFill="1" applyAlignment="1">
      <alignment horizontal="center" vertical="center"/>
    </xf>
    <xf numFmtId="2" fontId="7" fillId="15" borderId="12" xfId="0" applyNumberFormat="1" applyFont="1" applyFill="1" applyBorder="1" applyAlignment="1">
      <alignment horizontal="center" vertical="center"/>
    </xf>
    <xf numFmtId="0" fontId="7" fillId="20" borderId="10" xfId="0" applyFont="1" applyFill="1" applyBorder="1" applyAlignment="1">
      <alignment horizontal="center"/>
    </xf>
    <xf numFmtId="0" fontId="8" fillId="20" borderId="15" xfId="0" applyFont="1" applyFill="1" applyBorder="1" applyAlignment="1">
      <alignment horizontal="center"/>
    </xf>
    <xf numFmtId="0" fontId="8" fillId="20" borderId="2" xfId="0" applyFont="1" applyFill="1" applyBorder="1" applyAlignment="1">
      <alignment horizontal="center"/>
    </xf>
    <xf numFmtId="0" fontId="8" fillId="20" borderId="3" xfId="0" applyFont="1" applyFill="1" applyBorder="1" applyAlignment="1">
      <alignment horizontal="center"/>
    </xf>
    <xf numFmtId="1" fontId="0" fillId="15" borderId="4" xfId="0" applyNumberFormat="1" applyFill="1" applyBorder="1" applyAlignment="1">
      <alignment horizontal="right"/>
    </xf>
    <xf numFmtId="1" fontId="0" fillId="15" borderId="11" xfId="0" applyNumberFormat="1" applyFill="1" applyBorder="1" applyAlignment="1">
      <alignment horizontal="center"/>
    </xf>
    <xf numFmtId="2" fontId="0" fillId="16" borderId="4" xfId="0" applyNumberFormat="1" applyFill="1" applyBorder="1" applyAlignment="1">
      <alignment horizontal="center"/>
    </xf>
    <xf numFmtId="2" fontId="0" fillId="16" borderId="11" xfId="0" applyNumberFormat="1" applyFill="1" applyBorder="1" applyAlignment="1">
      <alignment horizontal="center"/>
    </xf>
    <xf numFmtId="0" fontId="8" fillId="20" borderId="10" xfId="0" applyFont="1" applyFill="1" applyBorder="1" applyAlignment="1">
      <alignment horizontal="center"/>
    </xf>
    <xf numFmtId="1" fontId="0" fillId="15" borderId="16" xfId="0" applyNumberFormat="1" applyFill="1" applyBorder="1" applyAlignment="1">
      <alignment horizontal="center"/>
    </xf>
    <xf numFmtId="2" fontId="0" fillId="16" borderId="16" xfId="0" applyNumberFormat="1" applyFill="1" applyBorder="1" applyAlignment="1">
      <alignment horizontal="center"/>
    </xf>
    <xf numFmtId="165" fontId="8" fillId="16" borderId="4" xfId="0" applyNumberFormat="1" applyFont="1" applyFill="1" applyBorder="1" applyAlignment="1">
      <alignment horizontal="center"/>
    </xf>
    <xf numFmtId="165" fontId="8" fillId="16" borderId="16" xfId="0" applyNumberFormat="1" applyFont="1" applyFill="1" applyBorder="1" applyAlignment="1">
      <alignment horizontal="center"/>
    </xf>
    <xf numFmtId="165" fontId="9" fillId="31" borderId="16" xfId="0" applyNumberFormat="1" applyFont="1" applyFill="1" applyBorder="1" applyAlignment="1">
      <alignment horizontal="center"/>
    </xf>
    <xf numFmtId="1" fontId="9" fillId="31" borderId="16" xfId="0" applyNumberFormat="1" applyFont="1" applyFill="1" applyBorder="1" applyAlignment="1">
      <alignment horizontal="center"/>
    </xf>
    <xf numFmtId="2" fontId="8" fillId="16" borderId="4" xfId="0" applyNumberFormat="1" applyFont="1" applyFill="1" applyBorder="1" applyAlignment="1">
      <alignment horizontal="center"/>
    </xf>
    <xf numFmtId="2" fontId="8" fillId="16" borderId="22" xfId="0" applyNumberFormat="1" applyFont="1" applyFill="1" applyBorder="1" applyAlignment="1">
      <alignment horizontal="center"/>
    </xf>
    <xf numFmtId="2" fontId="7" fillId="16" borderId="16" xfId="0" applyNumberFormat="1" applyFont="1" applyFill="1" applyBorder="1" applyAlignment="1">
      <alignment horizontal="center"/>
    </xf>
    <xf numFmtId="166" fontId="7" fillId="16" borderId="14" xfId="0" applyNumberFormat="1" applyFont="1" applyFill="1" applyBorder="1" applyAlignment="1">
      <alignment horizontal="center"/>
    </xf>
    <xf numFmtId="167" fontId="0" fillId="0" borderId="0" xfId="0" applyNumberFormat="1" applyProtection="1">
      <protection locked="0"/>
    </xf>
    <xf numFmtId="165" fontId="0" fillId="31" borderId="5" xfId="0" applyNumberFormat="1" applyFill="1" applyBorder="1" applyAlignment="1" applyProtection="1">
      <alignment horizontal="center" vertical="center"/>
      <protection locked="0"/>
    </xf>
    <xf numFmtId="165" fontId="0" fillId="31" borderId="9" xfId="0" applyNumberFormat="1" applyFill="1" applyBorder="1" applyAlignment="1" applyProtection="1">
      <alignment horizontal="center" vertical="center"/>
      <protection locked="0"/>
    </xf>
    <xf numFmtId="0" fontId="8" fillId="53" borderId="6" xfId="0" applyFont="1" applyFill="1" applyBorder="1"/>
    <xf numFmtId="0" fontId="0" fillId="53" borderId="8" xfId="0" applyFill="1" applyBorder="1"/>
    <xf numFmtId="0" fontId="0" fillId="53" borderId="4" xfId="0" applyFill="1" applyBorder="1"/>
    <xf numFmtId="0" fontId="0" fillId="53" borderId="11" xfId="0" applyFill="1" applyBorder="1"/>
    <xf numFmtId="0" fontId="0" fillId="53" borderId="4" xfId="0" applyFill="1" applyBorder="1" applyAlignment="1">
      <alignment horizontal="left" vertical="center"/>
    </xf>
    <xf numFmtId="165" fontId="7" fillId="53" borderId="11" xfId="0" applyNumberFormat="1" applyFont="1" applyFill="1" applyBorder="1" applyAlignment="1">
      <alignment horizontal="center"/>
    </xf>
    <xf numFmtId="0" fontId="0" fillId="53" borderId="13" xfId="0" applyFill="1" applyBorder="1" applyAlignment="1">
      <alignment horizontal="left" vertical="center"/>
    </xf>
    <xf numFmtId="165" fontId="7" fillId="53" borderId="14" xfId="0" applyNumberFormat="1" applyFont="1" applyFill="1" applyBorder="1" applyAlignment="1">
      <alignment horizontal="center"/>
    </xf>
    <xf numFmtId="2" fontId="0" fillId="19" borderId="11" xfId="0" applyNumberFormat="1" applyFill="1" applyBorder="1" applyAlignment="1">
      <alignment horizontal="center" vertical="center"/>
    </xf>
    <xf numFmtId="0" fontId="21" fillId="19" borderId="7" xfId="0" applyFont="1" applyFill="1" applyBorder="1" applyAlignment="1">
      <alignment horizontal="center"/>
    </xf>
    <xf numFmtId="0" fontId="16" fillId="19" borderId="0" xfId="0" applyFont="1" applyFill="1" applyAlignment="1">
      <alignment horizontal="center" vertical="center"/>
    </xf>
    <xf numFmtId="0" fontId="16" fillId="19" borderId="11" xfId="0" applyFont="1" applyFill="1" applyBorder="1" applyAlignment="1">
      <alignment horizontal="center" vertical="center"/>
    </xf>
    <xf numFmtId="1" fontId="0" fillId="15" borderId="4" xfId="0" applyNumberFormat="1" applyFill="1" applyBorder="1" applyAlignment="1" applyProtection="1">
      <alignment horizontal="center" vertical="center"/>
      <protection locked="0"/>
    </xf>
    <xf numFmtId="1" fontId="0" fillId="15" borderId="11" xfId="0" applyNumberFormat="1" applyFill="1" applyBorder="1" applyAlignment="1" applyProtection="1">
      <alignment horizontal="center" vertical="center"/>
      <protection locked="0"/>
    </xf>
    <xf numFmtId="166" fontId="0" fillId="25" borderId="0" xfId="0" applyNumberFormat="1" applyFill="1" applyAlignment="1">
      <alignment horizontal="center" vertical="center"/>
    </xf>
    <xf numFmtId="166" fontId="8" fillId="52" borderId="0" xfId="0" applyNumberFormat="1" applyFont="1" applyFill="1" applyAlignment="1">
      <alignment horizontal="center" vertical="center"/>
    </xf>
    <xf numFmtId="1" fontId="11" fillId="20" borderId="2" xfId="0" applyNumberFormat="1" applyFont="1" applyFill="1" applyBorder="1" applyAlignment="1">
      <alignment horizontal="center" vertical="center"/>
    </xf>
    <xf numFmtId="166" fontId="0" fillId="0" borderId="0" xfId="0" applyNumberFormat="1" applyAlignment="1">
      <alignment horizontal="center"/>
    </xf>
    <xf numFmtId="166" fontId="0" fillId="0" borderId="2" xfId="0" applyNumberFormat="1" applyBorder="1" applyAlignment="1" applyProtection="1">
      <alignment horizontal="center"/>
      <protection locked="0"/>
    </xf>
    <xf numFmtId="49" fontId="0" fillId="15" borderId="4" xfId="0" applyNumberFormat="1" applyFill="1" applyBorder="1" applyAlignment="1" applyProtection="1">
      <alignment horizontal="center"/>
      <protection locked="0"/>
    </xf>
    <xf numFmtId="166" fontId="0" fillId="0" borderId="4" xfId="0" applyNumberFormat="1" applyBorder="1" applyAlignment="1" applyProtection="1">
      <alignment horizontal="center"/>
      <protection locked="0"/>
    </xf>
    <xf numFmtId="0" fontId="0" fillId="0" borderId="4" xfId="0" applyBorder="1" applyProtection="1">
      <protection locked="0"/>
    </xf>
    <xf numFmtId="0" fontId="0" fillId="0" borderId="13" xfId="0" applyBorder="1" applyProtection="1">
      <protection locked="0"/>
    </xf>
    <xf numFmtId="0" fontId="0" fillId="0" borderId="6" xfId="0" applyBorder="1" applyProtection="1">
      <protection locked="0"/>
    </xf>
    <xf numFmtId="165" fontId="0" fillId="0" borderId="4" xfId="0" applyNumberFormat="1" applyBorder="1" applyAlignment="1" applyProtection="1">
      <alignment horizontal="center"/>
      <protection locked="0"/>
    </xf>
    <xf numFmtId="166" fontId="0" fillId="0" borderId="12" xfId="0" applyNumberFormat="1" applyBorder="1" applyAlignment="1">
      <alignment horizontal="center"/>
    </xf>
    <xf numFmtId="164" fontId="11" fillId="16" borderId="17" xfId="2" applyNumberFormat="1" applyFont="1" applyFill="1" applyBorder="1" applyAlignment="1">
      <alignment horizontal="center" vertical="center"/>
    </xf>
    <xf numFmtId="167" fontId="8" fillId="23" borderId="5" xfId="0" applyNumberFormat="1" applyFont="1" applyFill="1" applyBorder="1" applyAlignment="1" applyProtection="1">
      <alignment horizontal="center" vertical="center"/>
      <protection locked="0"/>
    </xf>
    <xf numFmtId="2" fontId="8" fillId="19" borderId="12" xfId="0" applyNumberFormat="1" applyFont="1" applyFill="1" applyBorder="1" applyAlignment="1">
      <alignment horizontal="center"/>
    </xf>
    <xf numFmtId="0" fontId="0" fillId="54" borderId="4" xfId="0" applyFill="1" applyBorder="1" applyAlignment="1">
      <alignment horizontal="left" vertical="center" indent="1"/>
    </xf>
    <xf numFmtId="2" fontId="0" fillId="15" borderId="22" xfId="0" applyNumberFormat="1" applyFill="1" applyBorder="1" applyAlignment="1">
      <alignment horizontal="center" vertical="center"/>
    </xf>
    <xf numFmtId="174" fontId="9" fillId="31" borderId="2" xfId="0" applyNumberFormat="1" applyFont="1" applyFill="1" applyBorder="1" applyAlignment="1">
      <alignment horizontal="center"/>
    </xf>
    <xf numFmtId="1" fontId="7" fillId="15" borderId="22" xfId="0" applyNumberFormat="1" applyFont="1" applyFill="1" applyBorder="1" applyAlignment="1">
      <alignment horizontal="center" vertical="center"/>
    </xf>
    <xf numFmtId="0" fontId="76" fillId="0" borderId="0" xfId="0" applyFont="1" applyAlignment="1">
      <alignment horizontal="center"/>
    </xf>
    <xf numFmtId="1" fontId="77" fillId="0" borderId="0" xfId="0" applyNumberFormat="1" applyFont="1" applyAlignment="1">
      <alignment horizontal="center"/>
    </xf>
    <xf numFmtId="2" fontId="0" fillId="0" borderId="0" xfId="0" applyNumberFormat="1" applyAlignment="1">
      <alignment horizontal="center"/>
    </xf>
    <xf numFmtId="0" fontId="79" fillId="0" borderId="0" xfId="0" applyFont="1" applyAlignment="1" applyProtection="1">
      <alignment horizontal="center"/>
      <protection locked="0"/>
    </xf>
    <xf numFmtId="2" fontId="79" fillId="0" borderId="0" xfId="0" applyNumberFormat="1" applyFont="1" applyAlignment="1">
      <alignment horizontal="center"/>
    </xf>
    <xf numFmtId="166" fontId="79" fillId="0" borderId="0" xfId="0" applyNumberFormat="1" applyFont="1" applyAlignment="1">
      <alignment horizontal="center"/>
    </xf>
    <xf numFmtId="1" fontId="80" fillId="0" borderId="0" xfId="0" applyNumberFormat="1" applyFont="1" applyAlignment="1">
      <alignment horizontal="center"/>
    </xf>
    <xf numFmtId="169" fontId="58" fillId="54" borderId="37" xfId="0" applyNumberFormat="1" applyFont="1" applyFill="1" applyBorder="1" applyAlignment="1" applyProtection="1">
      <alignment horizontal="center" vertical="center"/>
      <protection locked="0"/>
    </xf>
    <xf numFmtId="169" fontId="58" fillId="54" borderId="38" xfId="0" applyNumberFormat="1" applyFont="1" applyFill="1" applyBorder="1" applyAlignment="1" applyProtection="1">
      <alignment horizontal="center" vertical="center"/>
      <protection locked="0"/>
    </xf>
    <xf numFmtId="0" fontId="14" fillId="0" borderId="0" xfId="0" applyFont="1" applyAlignment="1" applyProtection="1">
      <alignment horizontal="center"/>
      <protection locked="0"/>
    </xf>
    <xf numFmtId="166" fontId="8" fillId="0" borderId="0" xfId="1" applyNumberFormat="1" applyFont="1" applyFill="1" applyBorder="1" applyAlignment="1" applyProtection="1">
      <alignment horizontal="center"/>
      <protection locked="0"/>
    </xf>
    <xf numFmtId="2" fontId="0" fillId="22" borderId="12" xfId="0" applyNumberFormat="1" applyFill="1" applyBorder="1" applyAlignment="1" applyProtection="1">
      <alignment horizontal="center"/>
      <protection locked="0"/>
    </xf>
    <xf numFmtId="166" fontId="8" fillId="0" borderId="12" xfId="0" applyNumberFormat="1" applyFont="1" applyBorder="1" applyAlignment="1" applyProtection="1">
      <alignment horizontal="center"/>
      <protection locked="0"/>
    </xf>
    <xf numFmtId="2" fontId="9" fillId="0" borderId="0" xfId="0" applyNumberFormat="1" applyFont="1" applyAlignment="1">
      <alignment horizontal="center"/>
    </xf>
    <xf numFmtId="2" fontId="8" fillId="0" borderId="12" xfId="0" applyNumberFormat="1" applyFont="1" applyBorder="1" applyProtection="1">
      <protection locked="0"/>
    </xf>
    <xf numFmtId="166" fontId="0" fillId="0" borderId="7" xfId="0" applyNumberFormat="1" applyBorder="1" applyAlignment="1" applyProtection="1">
      <alignment horizontal="center"/>
      <protection locked="0"/>
    </xf>
    <xf numFmtId="1" fontId="0" fillId="0" borderId="7" xfId="0" applyNumberFormat="1" applyBorder="1" applyAlignment="1" applyProtection="1">
      <alignment horizontal="center"/>
      <protection locked="0"/>
    </xf>
    <xf numFmtId="1" fontId="0" fillId="17" borderId="7" xfId="0" applyNumberFormat="1" applyFill="1" applyBorder="1" applyAlignment="1" applyProtection="1">
      <alignment horizontal="center"/>
      <protection locked="0"/>
    </xf>
    <xf numFmtId="1" fontId="0" fillId="15" borderId="7" xfId="0" applyNumberFormat="1" applyFill="1" applyBorder="1" applyAlignment="1" applyProtection="1">
      <alignment horizontal="center"/>
      <protection locked="0"/>
    </xf>
    <xf numFmtId="0" fontId="0" fillId="16" borderId="7" xfId="3" applyFont="1" applyFill="1" applyBorder="1" applyAlignment="1" applyProtection="1">
      <alignment horizontal="center"/>
      <protection locked="0"/>
    </xf>
    <xf numFmtId="2" fontId="0" fillId="22" borderId="7" xfId="0" applyNumberFormat="1" applyFill="1" applyBorder="1" applyAlignment="1" applyProtection="1">
      <alignment horizontal="center"/>
      <protection locked="0"/>
    </xf>
    <xf numFmtId="166" fontId="0" fillId="0" borderId="7" xfId="0" applyNumberFormat="1" applyBorder="1" applyAlignment="1">
      <alignment horizontal="center"/>
    </xf>
    <xf numFmtId="166" fontId="8" fillId="0" borderId="7" xfId="0" applyNumberFormat="1" applyFont="1" applyBorder="1" applyAlignment="1" applyProtection="1">
      <alignment horizontal="center"/>
      <protection locked="0"/>
    </xf>
    <xf numFmtId="10" fontId="8" fillId="0" borderId="0" xfId="1" applyNumberFormat="1" applyFont="1" applyFill="1" applyBorder="1" applyAlignment="1" applyProtection="1">
      <alignment horizontal="center"/>
      <protection locked="0"/>
    </xf>
    <xf numFmtId="2" fontId="8" fillId="0" borderId="7" xfId="0" applyNumberFormat="1" applyFont="1" applyBorder="1" applyAlignment="1" applyProtection="1">
      <alignment horizontal="center"/>
      <protection locked="0"/>
    </xf>
    <xf numFmtId="2" fontId="8" fillId="0" borderId="12" xfId="0" applyNumberFormat="1" applyFont="1" applyBorder="1" applyAlignment="1" applyProtection="1">
      <alignment horizontal="center"/>
      <protection locked="0"/>
    </xf>
    <xf numFmtId="166" fontId="0" fillId="16" borderId="12" xfId="0" applyNumberFormat="1" applyFill="1" applyBorder="1" applyAlignment="1" applyProtection="1">
      <alignment horizontal="center"/>
      <protection locked="0"/>
    </xf>
    <xf numFmtId="11" fontId="0" fillId="0" borderId="0" xfId="0" applyNumberFormat="1"/>
    <xf numFmtId="1" fontId="0" fillId="19" borderId="12" xfId="0" applyNumberFormat="1" applyFill="1" applyBorder="1" applyAlignment="1">
      <alignment horizontal="center" vertical="center"/>
    </xf>
    <xf numFmtId="166" fontId="39" fillId="30" borderId="10" xfId="0" applyNumberFormat="1" applyFont="1" applyFill="1" applyBorder="1" applyAlignment="1" applyProtection="1">
      <alignment horizontal="center" vertical="center"/>
      <protection locked="0"/>
    </xf>
    <xf numFmtId="165" fontId="8" fillId="23" borderId="16" xfId="0" applyNumberFormat="1" applyFont="1" applyFill="1" applyBorder="1" applyAlignment="1" applyProtection="1">
      <alignment horizontal="center"/>
      <protection locked="0"/>
    </xf>
    <xf numFmtId="2" fontId="0" fillId="31" borderId="9" xfId="0" applyNumberFormat="1" applyFill="1" applyBorder="1" applyAlignment="1" applyProtection="1">
      <alignment horizontal="center" vertical="center"/>
      <protection locked="0"/>
    </xf>
    <xf numFmtId="165" fontId="0" fillId="0" borderId="12" xfId="0" applyNumberFormat="1" applyBorder="1" applyAlignment="1" applyProtection="1">
      <alignment horizontal="center"/>
      <protection locked="0"/>
    </xf>
    <xf numFmtId="0" fontId="8" fillId="0" borderId="0" xfId="0" applyFont="1" applyProtection="1">
      <protection locked="0"/>
    </xf>
    <xf numFmtId="0" fontId="10" fillId="0" borderId="0" xfId="0" applyFont="1" applyAlignment="1" applyProtection="1">
      <alignment horizontal="center"/>
      <protection locked="0"/>
    </xf>
    <xf numFmtId="1" fontId="0" fillId="0" borderId="0" xfId="0" applyNumberFormat="1" applyProtection="1">
      <protection locked="0"/>
    </xf>
    <xf numFmtId="165" fontId="0" fillId="0" borderId="7" xfId="0" applyNumberFormat="1" applyBorder="1" applyAlignment="1" applyProtection="1">
      <alignment horizontal="center"/>
      <protection locked="0"/>
    </xf>
    <xf numFmtId="165" fontId="0" fillId="23" borderId="0" xfId="0" applyNumberFormat="1" applyFill="1" applyAlignment="1" applyProtection="1">
      <alignment horizontal="center"/>
      <protection locked="0"/>
    </xf>
    <xf numFmtId="170" fontId="0" fillId="15" borderId="12" xfId="0" applyNumberFormat="1" applyFill="1" applyBorder="1"/>
    <xf numFmtId="165" fontId="0" fillId="54" borderId="0" xfId="0" applyNumberFormat="1" applyFill="1" applyAlignment="1" applyProtection="1">
      <alignment horizontal="center"/>
      <protection locked="0"/>
    </xf>
    <xf numFmtId="49" fontId="0" fillId="23" borderId="0" xfId="0" applyNumberFormat="1" applyFill="1" applyAlignment="1" applyProtection="1">
      <alignment horizontal="center"/>
      <protection locked="0"/>
    </xf>
    <xf numFmtId="0" fontId="8" fillId="23" borderId="0" xfId="0" applyFont="1" applyFill="1" applyAlignment="1" applyProtection="1">
      <alignment horizontal="center"/>
      <protection locked="0"/>
    </xf>
    <xf numFmtId="0" fontId="0" fillId="23" borderId="0" xfId="0" applyFill="1" applyAlignment="1" applyProtection="1">
      <alignment horizontal="center"/>
      <protection locked="0"/>
    </xf>
    <xf numFmtId="1" fontId="0" fillId="23" borderId="0" xfId="0" applyNumberFormat="1" applyFill="1" applyAlignment="1" applyProtection="1">
      <alignment horizontal="center"/>
      <protection locked="0"/>
    </xf>
    <xf numFmtId="165" fontId="0" fillId="23" borderId="7" xfId="0" applyNumberFormat="1" applyFill="1" applyBorder="1" applyAlignment="1">
      <alignment horizontal="center"/>
    </xf>
    <xf numFmtId="165" fontId="0" fillId="23" borderId="0" xfId="0" applyNumberFormat="1" applyFill="1" applyAlignment="1">
      <alignment horizontal="center"/>
    </xf>
    <xf numFmtId="165" fontId="8" fillId="23" borderId="12" xfId="0" applyNumberFormat="1" applyFont="1" applyFill="1" applyBorder="1" applyAlignment="1">
      <alignment horizontal="center"/>
    </xf>
    <xf numFmtId="2" fontId="0" fillId="23" borderId="0" xfId="0" applyNumberFormat="1" applyFill="1" applyAlignment="1">
      <alignment horizontal="center"/>
    </xf>
    <xf numFmtId="2" fontId="0" fillId="23" borderId="12" xfId="0" applyNumberFormat="1" applyFill="1" applyBorder="1" applyAlignment="1">
      <alignment horizontal="center"/>
    </xf>
    <xf numFmtId="165" fontId="0" fillId="23" borderId="12" xfId="0" applyNumberFormat="1" applyFill="1" applyBorder="1" applyAlignment="1">
      <alignment horizontal="center"/>
    </xf>
    <xf numFmtId="2" fontId="79" fillId="23" borderId="0" xfId="0" applyNumberFormat="1" applyFont="1" applyFill="1" applyAlignment="1">
      <alignment horizontal="center"/>
    </xf>
    <xf numFmtId="1" fontId="80" fillId="23" borderId="0" xfId="0" applyNumberFormat="1" applyFont="1" applyFill="1" applyAlignment="1">
      <alignment horizontal="center"/>
    </xf>
    <xf numFmtId="165" fontId="8" fillId="23" borderId="0" xfId="0" applyNumberFormat="1" applyFont="1" applyFill="1" applyAlignment="1" applyProtection="1">
      <alignment horizontal="center"/>
      <protection locked="0"/>
    </xf>
    <xf numFmtId="166" fontId="8" fillId="23" borderId="0" xfId="0" applyNumberFormat="1" applyFont="1" applyFill="1" applyAlignment="1" applyProtection="1">
      <alignment horizontal="center"/>
      <protection locked="0"/>
    </xf>
    <xf numFmtId="49" fontId="0" fillId="23" borderId="12" xfId="0" applyNumberFormat="1" applyFill="1" applyBorder="1" applyAlignment="1" applyProtection="1">
      <alignment horizontal="center"/>
      <protection locked="0"/>
    </xf>
    <xf numFmtId="0" fontId="0" fillId="23" borderId="12" xfId="0" applyFill="1" applyBorder="1" applyAlignment="1" applyProtection="1">
      <alignment horizontal="center"/>
      <protection locked="0"/>
    </xf>
    <xf numFmtId="0" fontId="0" fillId="23" borderId="7" xfId="0" applyFill="1" applyBorder="1" applyAlignment="1" applyProtection="1">
      <alignment horizontal="center"/>
      <protection locked="0"/>
    </xf>
    <xf numFmtId="2" fontId="8" fillId="23" borderId="12" xfId="0" applyNumberFormat="1" applyFont="1" applyFill="1" applyBorder="1" applyAlignment="1" applyProtection="1">
      <alignment horizontal="center"/>
      <protection locked="0"/>
    </xf>
    <xf numFmtId="165" fontId="0" fillId="19" borderId="7" xfId="0" applyNumberFormat="1" applyFill="1" applyBorder="1" applyAlignment="1" applyProtection="1">
      <alignment horizontal="center"/>
      <protection locked="0"/>
    </xf>
    <xf numFmtId="165" fontId="0" fillId="19" borderId="12" xfId="0" applyNumberFormat="1" applyFill="1" applyBorder="1" applyAlignment="1" applyProtection="1">
      <alignment horizontal="center"/>
      <protection locked="0"/>
    </xf>
    <xf numFmtId="1" fontId="12" fillId="16" borderId="12" xfId="0" applyNumberFormat="1" applyFont="1" applyFill="1" applyBorder="1" applyAlignment="1" applyProtection="1">
      <alignment horizontal="left"/>
      <protection locked="0"/>
    </xf>
    <xf numFmtId="1" fontId="0" fillId="0" borderId="12" xfId="0" applyNumberFormat="1" applyBorder="1" applyProtection="1">
      <protection locked="0"/>
    </xf>
    <xf numFmtId="2" fontId="0" fillId="0" borderId="12" xfId="0" applyNumberFormat="1" applyBorder="1" applyProtection="1">
      <protection locked="0"/>
    </xf>
    <xf numFmtId="1" fontId="8" fillId="0" borderId="12" xfId="1" applyNumberFormat="1" applyFont="1" applyFill="1" applyBorder="1" applyAlignment="1" applyProtection="1">
      <alignment horizontal="center"/>
      <protection locked="0"/>
    </xf>
    <xf numFmtId="1" fontId="8" fillId="0" borderId="12" xfId="0" applyNumberFormat="1" applyFont="1" applyBorder="1" applyAlignment="1" applyProtection="1">
      <alignment horizontal="center"/>
      <protection locked="0"/>
    </xf>
    <xf numFmtId="1" fontId="7" fillId="15" borderId="21" xfId="0" applyNumberFormat="1" applyFont="1" applyFill="1" applyBorder="1" applyAlignment="1">
      <alignment horizontal="center" vertical="center"/>
    </xf>
    <xf numFmtId="1" fontId="8" fillId="16" borderId="4" xfId="0" applyNumberFormat="1" applyFont="1" applyFill="1" applyBorder="1" applyAlignment="1">
      <alignment horizontal="center"/>
    </xf>
    <xf numFmtId="164" fontId="11" fillId="16" borderId="19" xfId="2" applyNumberFormat="1" applyFont="1" applyFill="1" applyBorder="1" applyAlignment="1">
      <alignment horizontal="center" vertical="center"/>
    </xf>
    <xf numFmtId="165" fontId="11" fillId="16" borderId="19" xfId="2" applyNumberFormat="1" applyFont="1" applyFill="1" applyBorder="1" applyAlignment="1">
      <alignment horizontal="center" vertical="center"/>
    </xf>
    <xf numFmtId="165" fontId="0" fillId="28" borderId="0" xfId="0" applyNumberFormat="1" applyFill="1" applyAlignment="1" applyProtection="1">
      <alignment horizontal="center"/>
      <protection locked="0"/>
    </xf>
    <xf numFmtId="1" fontId="0" fillId="15" borderId="7" xfId="0" applyNumberFormat="1" applyFill="1" applyBorder="1" applyProtection="1">
      <protection locked="0"/>
    </xf>
    <xf numFmtId="1" fontId="0" fillId="15" borderId="12" xfId="0" applyNumberFormat="1" applyFill="1" applyBorder="1" applyProtection="1">
      <protection locked="0"/>
    </xf>
    <xf numFmtId="1" fontId="8" fillId="15" borderId="7" xfId="0" applyNumberFormat="1" applyFont="1" applyFill="1" applyBorder="1" applyAlignment="1" applyProtection="1">
      <alignment horizontal="center"/>
      <protection locked="0"/>
    </xf>
    <xf numFmtId="1" fontId="0" fillId="15" borderId="0" xfId="0" applyNumberFormat="1" applyFill="1" applyAlignment="1" applyProtection="1">
      <alignment horizontal="center" vertical="center"/>
      <protection locked="0"/>
    </xf>
    <xf numFmtId="1" fontId="58" fillId="51" borderId="38" xfId="0" applyNumberFormat="1" applyFont="1" applyFill="1" applyBorder="1" applyAlignment="1" applyProtection="1">
      <alignment horizontal="center" vertical="center"/>
      <protection locked="0"/>
    </xf>
    <xf numFmtId="1" fontId="58" fillId="51" borderId="46" xfId="0" applyNumberFormat="1" applyFont="1" applyFill="1" applyBorder="1" applyAlignment="1" applyProtection="1">
      <alignment horizontal="center" vertical="center"/>
      <protection locked="0"/>
    </xf>
    <xf numFmtId="1" fontId="58" fillId="54" borderId="38" xfId="0" applyNumberFormat="1" applyFont="1" applyFill="1" applyBorder="1" applyAlignment="1" applyProtection="1">
      <alignment horizontal="center" vertical="center"/>
      <protection locked="0"/>
    </xf>
    <xf numFmtId="1" fontId="13" fillId="15" borderId="0" xfId="0" applyNumberFormat="1" applyFont="1" applyFill="1" applyProtection="1">
      <protection locked="0"/>
    </xf>
    <xf numFmtId="1" fontId="8" fillId="23" borderId="0" xfId="0" applyNumberFormat="1" applyFont="1" applyFill="1" applyAlignment="1" applyProtection="1">
      <alignment horizontal="center"/>
      <protection locked="0"/>
    </xf>
    <xf numFmtId="1" fontId="0" fillId="15" borderId="6" xfId="0" applyNumberFormat="1" applyFill="1" applyBorder="1" applyProtection="1">
      <protection locked="0"/>
    </xf>
    <xf numFmtId="1" fontId="0" fillId="15" borderId="4" xfId="0" applyNumberFormat="1" applyFill="1" applyBorder="1" applyProtection="1">
      <protection locked="0"/>
    </xf>
    <xf numFmtId="1" fontId="0" fillId="15" borderId="13" xfId="0" applyNumberFormat="1" applyFill="1" applyBorder="1" applyProtection="1">
      <protection locked="0"/>
    </xf>
    <xf numFmtId="1" fontId="8" fillId="15" borderId="0" xfId="0" applyNumberFormat="1" applyFont="1" applyFill="1" applyAlignment="1" applyProtection="1">
      <alignment horizontal="center"/>
      <protection locked="0"/>
    </xf>
    <xf numFmtId="1" fontId="60" fillId="31" borderId="36" xfId="0" applyNumberFormat="1" applyFont="1" applyFill="1" applyBorder="1" applyAlignment="1" applyProtection="1">
      <alignment horizontal="center"/>
      <protection locked="0"/>
    </xf>
    <xf numFmtId="1" fontId="60" fillId="31" borderId="40" xfId="0" applyNumberFormat="1" applyFont="1" applyFill="1" applyBorder="1" applyAlignment="1" applyProtection="1">
      <alignment horizontal="center"/>
      <protection locked="0"/>
    </xf>
    <xf numFmtId="1" fontId="60" fillId="31" borderId="44" xfId="0" applyNumberFormat="1" applyFont="1" applyFill="1" applyBorder="1" applyAlignment="1" applyProtection="1">
      <alignment horizontal="center"/>
      <protection locked="0"/>
    </xf>
    <xf numFmtId="165" fontId="0" fillId="55" borderId="0" xfId="0" applyNumberFormat="1" applyFill="1" applyAlignment="1" applyProtection="1">
      <alignment horizontal="center"/>
      <protection locked="0"/>
    </xf>
    <xf numFmtId="165" fontId="8" fillId="19" borderId="7" xfId="0" applyNumberFormat="1" applyFont="1" applyFill="1" applyBorder="1" applyAlignment="1" applyProtection="1">
      <alignment horizontal="center"/>
      <protection locked="0"/>
    </xf>
    <xf numFmtId="165" fontId="8" fillId="19" borderId="0" xfId="0" applyNumberFormat="1" applyFont="1" applyFill="1" applyAlignment="1" applyProtection="1">
      <alignment horizontal="center"/>
      <protection locked="0"/>
    </xf>
    <xf numFmtId="0" fontId="56" fillId="0" borderId="7" xfId="0" applyFont="1" applyBorder="1" applyAlignment="1">
      <alignment horizontal="center"/>
    </xf>
    <xf numFmtId="166" fontId="77" fillId="0" borderId="7" xfId="0" applyNumberFormat="1" applyFont="1" applyBorder="1" applyAlignment="1">
      <alignment horizontal="center"/>
    </xf>
    <xf numFmtId="2" fontId="0" fillId="0" borderId="7" xfId="0" applyNumberFormat="1" applyBorder="1" applyAlignment="1">
      <alignment horizontal="center"/>
    </xf>
    <xf numFmtId="0" fontId="77" fillId="0" borderId="0" xfId="0" applyFont="1" applyAlignment="1">
      <alignment horizontal="center"/>
    </xf>
    <xf numFmtId="166" fontId="77" fillId="0" borderId="0" xfId="0" applyNumberFormat="1" applyFont="1" applyAlignment="1">
      <alignment horizontal="center"/>
    </xf>
    <xf numFmtId="0" fontId="56" fillId="0" borderId="0" xfId="0" applyFont="1" applyAlignment="1">
      <alignment horizontal="center"/>
    </xf>
    <xf numFmtId="1" fontId="78" fillId="0" borderId="0" xfId="0" applyNumberFormat="1" applyFont="1" applyAlignment="1">
      <alignment horizontal="center"/>
    </xf>
    <xf numFmtId="0" fontId="76" fillId="0" borderId="7" xfId="0" applyFont="1" applyBorder="1" applyAlignment="1">
      <alignment horizontal="center"/>
    </xf>
    <xf numFmtId="1" fontId="78" fillId="0" borderId="7" xfId="0" applyNumberFormat="1" applyFont="1" applyBorder="1" applyAlignment="1">
      <alignment horizontal="center"/>
    </xf>
    <xf numFmtId="49" fontId="8" fillId="25" borderId="0" xfId="0" applyNumberFormat="1" applyFont="1" applyFill="1" applyAlignment="1" applyProtection="1">
      <alignment horizontal="center"/>
      <protection locked="0"/>
    </xf>
    <xf numFmtId="2" fontId="8" fillId="25" borderId="0" xfId="0" applyNumberFormat="1" applyFont="1" applyFill="1" applyAlignment="1" applyProtection="1">
      <alignment horizontal="center"/>
      <protection locked="0"/>
    </xf>
    <xf numFmtId="166" fontId="0" fillId="25" borderId="0" xfId="0" applyNumberFormat="1" applyFill="1" applyAlignment="1" applyProtection="1">
      <alignment horizontal="center"/>
      <protection locked="0"/>
    </xf>
    <xf numFmtId="0" fontId="0" fillId="25" borderId="0" xfId="0" applyFill="1" applyProtection="1">
      <protection locked="0"/>
    </xf>
    <xf numFmtId="1" fontId="0" fillId="25" borderId="0" xfId="0" applyNumberFormat="1" applyFill="1" applyAlignment="1" applyProtection="1">
      <alignment horizontal="center"/>
      <protection locked="0"/>
    </xf>
    <xf numFmtId="49" fontId="0" fillId="25" borderId="0" xfId="0" applyNumberFormat="1" applyFill="1" applyProtection="1">
      <protection locked="0"/>
    </xf>
    <xf numFmtId="49" fontId="0" fillId="25" borderId="12" xfId="0" applyNumberFormat="1" applyFill="1" applyBorder="1" applyProtection="1">
      <protection locked="0"/>
    </xf>
    <xf numFmtId="0" fontId="0" fillId="25" borderId="12" xfId="0" applyFill="1" applyBorder="1" applyProtection="1">
      <protection locked="0"/>
    </xf>
    <xf numFmtId="0" fontId="0" fillId="25" borderId="7" xfId="0" applyFill="1" applyBorder="1" applyProtection="1">
      <protection locked="0"/>
    </xf>
    <xf numFmtId="2" fontId="8" fillId="25" borderId="12" xfId="0" applyNumberFormat="1" applyFont="1" applyFill="1" applyBorder="1" applyAlignment="1" applyProtection="1">
      <alignment horizontal="center"/>
      <protection locked="0"/>
    </xf>
    <xf numFmtId="2" fontId="8" fillId="25" borderId="7" xfId="0" applyNumberFormat="1" applyFont="1" applyFill="1" applyBorder="1" applyAlignment="1" applyProtection="1">
      <alignment horizontal="center"/>
      <protection locked="0"/>
    </xf>
    <xf numFmtId="164" fontId="8" fillId="0" borderId="10" xfId="0" applyNumberFormat="1" applyFont="1" applyBorder="1" applyAlignment="1" applyProtection="1">
      <alignment horizontal="center"/>
      <protection locked="0"/>
    </xf>
    <xf numFmtId="165" fontId="0" fillId="56" borderId="0" xfId="0" applyNumberFormat="1" applyFill="1" applyAlignment="1" applyProtection="1">
      <alignment horizontal="center"/>
      <protection locked="0"/>
    </xf>
    <xf numFmtId="1" fontId="8" fillId="0" borderId="7" xfId="1" applyNumberFormat="1" applyFont="1" applyFill="1" applyBorder="1" applyAlignment="1" applyProtection="1">
      <alignment horizontal="center"/>
      <protection locked="0"/>
    </xf>
    <xf numFmtId="166" fontId="8" fillId="0" borderId="12" xfId="1" applyNumberFormat="1" applyFont="1" applyFill="1" applyBorder="1" applyAlignment="1" applyProtection="1">
      <alignment horizontal="center"/>
      <protection locked="0"/>
    </xf>
    <xf numFmtId="166" fontId="8" fillId="23" borderId="12" xfId="0" applyNumberFormat="1" applyFont="1" applyFill="1" applyBorder="1" applyAlignment="1" applyProtection="1">
      <alignment horizontal="center"/>
      <protection locked="0"/>
    </xf>
    <xf numFmtId="2" fontId="8" fillId="19" borderId="7" xfId="0" applyNumberFormat="1" applyFont="1" applyFill="1" applyBorder="1" applyAlignment="1">
      <alignment horizontal="center"/>
    </xf>
    <xf numFmtId="2" fontId="0" fillId="19" borderId="7" xfId="0" applyNumberFormat="1" applyFill="1" applyBorder="1" applyAlignment="1">
      <alignment horizontal="center"/>
    </xf>
    <xf numFmtId="0" fontId="0" fillId="25" borderId="0" xfId="0" applyFill="1" applyAlignment="1" applyProtection="1">
      <alignment horizontal="center"/>
      <protection locked="0"/>
    </xf>
    <xf numFmtId="165" fontId="0" fillId="57" borderId="0" xfId="0" applyNumberFormat="1" applyFill="1" applyAlignment="1" applyProtection="1">
      <alignment horizontal="center"/>
      <protection locked="0"/>
    </xf>
    <xf numFmtId="166" fontId="0" fillId="0" borderId="48" xfId="0" applyNumberFormat="1" applyBorder="1" applyAlignment="1" applyProtection="1">
      <alignment horizontal="center"/>
      <protection locked="0"/>
    </xf>
    <xf numFmtId="1" fontId="0" fillId="0" borderId="48" xfId="0" applyNumberFormat="1" applyBorder="1" applyAlignment="1" applyProtection="1">
      <alignment horizontal="center"/>
      <protection locked="0"/>
    </xf>
    <xf numFmtId="165" fontId="0" fillId="0" borderId="48" xfId="0" applyNumberFormat="1" applyBorder="1" applyAlignment="1" applyProtection="1">
      <alignment horizontal="center"/>
      <protection locked="0"/>
    </xf>
    <xf numFmtId="1" fontId="0" fillId="17" borderId="48" xfId="0" applyNumberFormat="1" applyFill="1" applyBorder="1" applyAlignment="1" applyProtection="1">
      <alignment horizontal="center"/>
      <protection locked="0"/>
    </xf>
    <xf numFmtId="165" fontId="0" fillId="19" borderId="48" xfId="0" applyNumberFormat="1" applyFill="1" applyBorder="1" applyAlignment="1" applyProtection="1">
      <alignment horizontal="center"/>
      <protection locked="0"/>
    </xf>
    <xf numFmtId="165" fontId="8" fillId="19" borderId="48" xfId="0" applyNumberFormat="1" applyFont="1" applyFill="1" applyBorder="1" applyAlignment="1" applyProtection="1">
      <alignment horizontal="center"/>
      <protection locked="0"/>
    </xf>
    <xf numFmtId="2" fontId="8" fillId="19" borderId="48" xfId="0" applyNumberFormat="1" applyFont="1" applyFill="1" applyBorder="1" applyAlignment="1">
      <alignment horizontal="center"/>
    </xf>
    <xf numFmtId="2" fontId="0" fillId="19" borderId="48" xfId="0" applyNumberFormat="1" applyFill="1" applyBorder="1" applyAlignment="1">
      <alignment horizontal="center"/>
    </xf>
    <xf numFmtId="1" fontId="0" fillId="15" borderId="48" xfId="0" applyNumberFormat="1" applyFill="1" applyBorder="1" applyAlignment="1" applyProtection="1">
      <alignment horizontal="center"/>
      <protection locked="0"/>
    </xf>
    <xf numFmtId="0" fontId="0" fillId="16" borderId="48" xfId="3" applyFont="1" applyFill="1" applyBorder="1" applyAlignment="1" applyProtection="1">
      <alignment horizontal="center"/>
      <protection locked="0"/>
    </xf>
    <xf numFmtId="0" fontId="0" fillId="0" borderId="48" xfId="0" applyBorder="1" applyProtection="1">
      <protection locked="0"/>
    </xf>
    <xf numFmtId="166" fontId="8" fillId="0" borderId="48" xfId="0" applyNumberFormat="1" applyFont="1" applyBorder="1" applyAlignment="1" applyProtection="1">
      <alignment horizontal="center"/>
      <protection locked="0"/>
    </xf>
    <xf numFmtId="164" fontId="0" fillId="0" borderId="12" xfId="0" applyNumberFormat="1" applyBorder="1" applyAlignment="1" applyProtection="1">
      <alignment horizontal="left"/>
      <protection locked="0"/>
    </xf>
    <xf numFmtId="164" fontId="0" fillId="15" borderId="12" xfId="0" applyNumberFormat="1" applyFill="1" applyBorder="1" applyAlignment="1" applyProtection="1">
      <alignment horizontal="left" vertical="center"/>
      <protection locked="0"/>
    </xf>
    <xf numFmtId="0" fontId="8" fillId="15" borderId="0" xfId="0" applyFont="1" applyFill="1" applyAlignment="1" applyProtection="1">
      <alignment horizontal="center"/>
      <protection locked="0"/>
    </xf>
    <xf numFmtId="165" fontId="0" fillId="15" borderId="0" xfId="0" applyNumberFormat="1" applyFill="1" applyAlignment="1" applyProtection="1">
      <alignment horizontal="center"/>
      <protection locked="0"/>
    </xf>
    <xf numFmtId="0" fontId="14" fillId="15" borderId="0" xfId="0" applyFont="1" applyFill="1" applyProtection="1">
      <protection locked="0"/>
    </xf>
    <xf numFmtId="165" fontId="0" fillId="15" borderId="0" xfId="0" applyNumberFormat="1" applyFill="1" applyAlignment="1" applyProtection="1">
      <alignment horizontal="left"/>
      <protection locked="0"/>
    </xf>
    <xf numFmtId="165" fontId="8" fillId="58" borderId="10" xfId="0" applyNumberFormat="1" applyFont="1" applyFill="1" applyBorder="1" applyAlignment="1" applyProtection="1">
      <alignment horizontal="center"/>
      <protection locked="0"/>
    </xf>
    <xf numFmtId="165" fontId="8" fillId="59" borderId="10" xfId="0" applyNumberFormat="1" applyFont="1" applyFill="1" applyBorder="1" applyAlignment="1" applyProtection="1">
      <alignment horizontal="center"/>
      <protection locked="0"/>
    </xf>
    <xf numFmtId="166" fontId="0" fillId="0" borderId="48" xfId="0" applyNumberFormat="1" applyBorder="1" applyAlignment="1">
      <alignment horizontal="center"/>
    </xf>
    <xf numFmtId="49" fontId="0" fillId="60" borderId="0" xfId="0" applyNumberFormat="1" applyFill="1" applyAlignment="1" applyProtection="1">
      <alignment horizontal="center"/>
      <protection locked="0"/>
    </xf>
    <xf numFmtId="1" fontId="9" fillId="31" borderId="13" xfId="0" applyNumberFormat="1" applyFont="1" applyFill="1" applyBorder="1" applyAlignment="1">
      <alignment horizontal="center"/>
    </xf>
    <xf numFmtId="1" fontId="8" fillId="16" borderId="49" xfId="0" applyNumberFormat="1" applyFont="1" applyFill="1" applyBorder="1" applyAlignment="1">
      <alignment horizontal="left"/>
    </xf>
    <xf numFmtId="1" fontId="8" fillId="16" borderId="50" xfId="0" applyNumberFormat="1" applyFont="1" applyFill="1" applyBorder="1" applyAlignment="1">
      <alignment horizontal="left"/>
    </xf>
    <xf numFmtId="164" fontId="0" fillId="23" borderId="0" xfId="0" applyNumberFormat="1" applyFill="1" applyAlignment="1" applyProtection="1">
      <alignment horizontal="center"/>
      <protection locked="0"/>
    </xf>
    <xf numFmtId="1" fontId="9" fillId="61" borderId="2" xfId="0" applyNumberFormat="1" applyFont="1" applyFill="1" applyBorder="1" applyAlignment="1">
      <alignment horizontal="center"/>
    </xf>
    <xf numFmtId="0" fontId="8" fillId="0" borderId="12" xfId="0" applyFont="1" applyBorder="1" applyAlignment="1" applyProtection="1">
      <alignment horizontal="left"/>
      <protection locked="0"/>
    </xf>
    <xf numFmtId="164" fontId="0" fillId="0" borderId="7" xfId="0" applyNumberFormat="1" applyBorder="1" applyProtection="1">
      <protection locked="0"/>
    </xf>
    <xf numFmtId="49" fontId="0" fillId="0" borderId="48" xfId="0" applyNumberFormat="1" applyBorder="1" applyProtection="1">
      <protection locked="0"/>
    </xf>
    <xf numFmtId="169" fontId="58" fillId="54" borderId="39" xfId="0" applyNumberFormat="1" applyFont="1" applyFill="1" applyBorder="1" applyAlignment="1" applyProtection="1">
      <alignment horizontal="center" vertical="center"/>
      <protection locked="0"/>
    </xf>
    <xf numFmtId="169" fontId="58" fillId="25" borderId="37" xfId="0" applyNumberFormat="1" applyFont="1" applyFill="1" applyBorder="1" applyAlignment="1" applyProtection="1">
      <alignment horizontal="center" vertical="center"/>
      <protection locked="0"/>
    </xf>
    <xf numFmtId="1" fontId="58" fillId="25" borderId="38" xfId="0" applyNumberFormat="1" applyFont="1" applyFill="1" applyBorder="1" applyAlignment="1" applyProtection="1">
      <alignment horizontal="center" vertical="center"/>
      <protection locked="0"/>
    </xf>
    <xf numFmtId="169" fontId="58" fillId="25" borderId="38" xfId="0" applyNumberFormat="1" applyFont="1" applyFill="1" applyBorder="1" applyAlignment="1" applyProtection="1">
      <alignment horizontal="center" vertical="center"/>
      <protection locked="0"/>
    </xf>
    <xf numFmtId="169" fontId="58" fillId="25" borderId="39" xfId="0" applyNumberFormat="1" applyFont="1" applyFill="1" applyBorder="1" applyAlignment="1" applyProtection="1">
      <alignment horizontal="center" vertical="center"/>
      <protection locked="0"/>
    </xf>
    <xf numFmtId="1" fontId="60" fillId="25" borderId="36" xfId="0" applyNumberFormat="1" applyFont="1" applyFill="1" applyBorder="1" applyAlignment="1" applyProtection="1">
      <alignment horizontal="center"/>
      <protection locked="0"/>
    </xf>
    <xf numFmtId="0" fontId="81" fillId="15" borderId="0" xfId="0" applyFont="1" applyFill="1" applyAlignment="1">
      <alignment horizontal="center"/>
    </xf>
    <xf numFmtId="0" fontId="81" fillId="15" borderId="7" xfId="0" applyFont="1" applyFill="1" applyBorder="1" applyAlignment="1">
      <alignment horizontal="center"/>
    </xf>
    <xf numFmtId="166" fontId="11" fillId="20" borderId="3" xfId="0" applyNumberFormat="1" applyFont="1" applyFill="1" applyBorder="1" applyAlignment="1">
      <alignment horizontal="center" vertical="center"/>
    </xf>
    <xf numFmtId="1" fontId="11" fillId="20" borderId="3" xfId="0" applyNumberFormat="1" applyFont="1" applyFill="1" applyBorder="1" applyAlignment="1">
      <alignment horizontal="center" vertical="center"/>
    </xf>
    <xf numFmtId="169" fontId="58" fillId="54" borderId="41" xfId="0" applyNumberFormat="1" applyFont="1" applyFill="1" applyBorder="1" applyAlignment="1" applyProtection="1">
      <alignment horizontal="center" vertical="center"/>
      <protection locked="0"/>
    </xf>
    <xf numFmtId="1" fontId="58" fillId="54" borderId="42" xfId="0" applyNumberFormat="1" applyFont="1" applyFill="1" applyBorder="1" applyAlignment="1" applyProtection="1">
      <alignment horizontal="center" vertical="center"/>
      <protection locked="0"/>
    </xf>
    <xf numFmtId="169" fontId="58" fillId="54" borderId="42" xfId="0" applyNumberFormat="1" applyFont="1" applyFill="1" applyBorder="1" applyAlignment="1" applyProtection="1">
      <alignment horizontal="center" vertical="center"/>
      <protection locked="0"/>
    </xf>
    <xf numFmtId="169" fontId="58" fillId="54" borderId="43" xfId="0" applyNumberFormat="1" applyFont="1" applyFill="1" applyBorder="1" applyAlignment="1" applyProtection="1">
      <alignment horizontal="center" vertical="center"/>
      <protection locked="0"/>
    </xf>
    <xf numFmtId="169" fontId="58" fillId="25" borderId="41" xfId="0" applyNumberFormat="1" applyFont="1" applyFill="1" applyBorder="1" applyAlignment="1" applyProtection="1">
      <alignment horizontal="center" vertical="center"/>
      <protection locked="0"/>
    </xf>
    <xf numFmtId="1" fontId="58" fillId="25" borderId="42" xfId="0" applyNumberFormat="1" applyFont="1" applyFill="1" applyBorder="1" applyAlignment="1" applyProtection="1">
      <alignment horizontal="center" vertical="center"/>
      <protection locked="0"/>
    </xf>
    <xf numFmtId="169" fontId="58" fillId="25" borderId="42" xfId="0" applyNumberFormat="1" applyFont="1" applyFill="1" applyBorder="1" applyAlignment="1" applyProtection="1">
      <alignment horizontal="center" vertical="center"/>
      <protection locked="0"/>
    </xf>
    <xf numFmtId="169" fontId="58" fillId="25" borderId="43" xfId="0" applyNumberFormat="1" applyFont="1" applyFill="1" applyBorder="1" applyAlignment="1" applyProtection="1">
      <alignment horizontal="center" vertical="center"/>
      <protection locked="0"/>
    </xf>
    <xf numFmtId="166" fontId="0" fillId="22" borderId="0" xfId="0" applyNumberFormat="1" applyFill="1" applyAlignment="1" applyProtection="1">
      <alignment horizontal="center"/>
      <protection locked="0"/>
    </xf>
    <xf numFmtId="166" fontId="0" fillId="54" borderId="0" xfId="0" applyNumberFormat="1" applyFill="1" applyAlignment="1" applyProtection="1">
      <alignment horizontal="center"/>
      <protection locked="0"/>
    </xf>
    <xf numFmtId="166" fontId="8" fillId="25" borderId="7" xfId="0" applyNumberFormat="1" applyFont="1" applyFill="1" applyBorder="1" applyAlignment="1" applyProtection="1">
      <alignment horizontal="center"/>
      <protection locked="0"/>
    </xf>
    <xf numFmtId="166" fontId="8" fillId="25" borderId="0" xfId="0" applyNumberFormat="1" applyFont="1" applyFill="1" applyAlignment="1" applyProtection="1">
      <alignment horizontal="center"/>
      <protection locked="0"/>
    </xf>
    <xf numFmtId="1" fontId="8" fillId="25" borderId="0" xfId="0" applyNumberFormat="1" applyFont="1" applyFill="1" applyAlignment="1" applyProtection="1">
      <alignment horizontal="center"/>
      <protection locked="0"/>
    </xf>
    <xf numFmtId="2" fontId="8" fillId="15" borderId="7" xfId="0" applyNumberFormat="1" applyFont="1" applyFill="1" applyBorder="1" applyAlignment="1" applyProtection="1">
      <alignment horizontal="center"/>
      <protection locked="0"/>
    </xf>
    <xf numFmtId="2" fontId="8" fillId="15" borderId="0" xfId="0" applyNumberFormat="1" applyFont="1" applyFill="1" applyAlignment="1" applyProtection="1">
      <alignment horizontal="center"/>
      <protection locked="0"/>
    </xf>
    <xf numFmtId="166" fontId="8" fillId="15" borderId="0" xfId="0" applyNumberFormat="1" applyFont="1" applyFill="1" applyAlignment="1" applyProtection="1">
      <alignment horizontal="center"/>
      <protection locked="0"/>
    </xf>
    <xf numFmtId="0" fontId="0" fillId="15" borderId="2" xfId="0" applyFill="1" applyBorder="1" applyProtection="1">
      <protection locked="0"/>
    </xf>
    <xf numFmtId="49" fontId="8" fillId="15" borderId="2" xfId="0" applyNumberFormat="1" applyFont="1" applyFill="1" applyBorder="1" applyAlignment="1" applyProtection="1">
      <alignment horizontal="center"/>
      <protection locked="0"/>
    </xf>
    <xf numFmtId="0" fontId="0" fillId="15" borderId="2" xfId="0" applyFill="1" applyBorder="1" applyAlignment="1" applyProtection="1">
      <alignment horizontal="center"/>
      <protection locked="0"/>
    </xf>
    <xf numFmtId="1" fontId="0" fillId="25" borderId="7" xfId="0" applyNumberFormat="1" applyFill="1" applyBorder="1" applyAlignment="1" applyProtection="1">
      <alignment horizontal="center"/>
      <protection locked="0"/>
    </xf>
    <xf numFmtId="2" fontId="8" fillId="61" borderId="0" xfId="0" applyNumberFormat="1" applyFont="1" applyFill="1" applyAlignment="1" applyProtection="1">
      <alignment horizontal="center"/>
      <protection locked="0"/>
    </xf>
    <xf numFmtId="166" fontId="8" fillId="61" borderId="0" xfId="0" applyNumberFormat="1" applyFont="1" applyFill="1" applyAlignment="1" applyProtection="1">
      <alignment horizontal="center"/>
      <protection locked="0"/>
    </xf>
    <xf numFmtId="2" fontId="8" fillId="54" borderId="7" xfId="0" applyNumberFormat="1" applyFont="1" applyFill="1" applyBorder="1" applyAlignment="1" applyProtection="1">
      <alignment horizontal="center"/>
      <protection locked="0"/>
    </xf>
    <xf numFmtId="1" fontId="8" fillId="54" borderId="0" xfId="0" applyNumberFormat="1" applyFont="1" applyFill="1" applyAlignment="1" applyProtection="1">
      <alignment horizontal="center"/>
      <protection locked="0"/>
    </xf>
    <xf numFmtId="164" fontId="0" fillId="54" borderId="0" xfId="0" applyNumberFormat="1" applyFill="1" applyAlignment="1" applyProtection="1">
      <alignment horizontal="center"/>
      <protection locked="0"/>
    </xf>
    <xf numFmtId="1" fontId="0" fillId="0" borderId="48" xfId="0" applyNumberFormat="1" applyBorder="1" applyAlignment="1">
      <alignment horizontal="center"/>
    </xf>
    <xf numFmtId="1" fontId="8" fillId="25" borderId="7" xfId="0" applyNumberFormat="1" applyFont="1" applyFill="1" applyBorder="1" applyAlignment="1" applyProtection="1">
      <alignment horizontal="center"/>
      <protection locked="0"/>
    </xf>
    <xf numFmtId="0" fontId="0" fillId="0" borderId="2" xfId="0" applyBorder="1" applyProtection="1">
      <protection locked="0"/>
    </xf>
    <xf numFmtId="166" fontId="0" fillId="0" borderId="0" xfId="0" applyNumberFormat="1" applyProtection="1">
      <protection locked="0"/>
    </xf>
    <xf numFmtId="2" fontId="0" fillId="0" borderId="0" xfId="0" applyNumberFormat="1" applyProtection="1">
      <protection locked="0"/>
    </xf>
    <xf numFmtId="2" fontId="8" fillId="25" borderId="0" xfId="0" applyNumberFormat="1" applyFont="1" applyFill="1" applyProtection="1">
      <protection locked="0"/>
    </xf>
    <xf numFmtId="1" fontId="0" fillId="62" borderId="7" xfId="0" applyNumberFormat="1" applyFill="1" applyBorder="1" applyAlignment="1" applyProtection="1">
      <alignment horizontal="center"/>
      <protection locked="0"/>
    </xf>
    <xf numFmtId="1" fontId="0" fillId="0" borderId="7" xfId="0" applyNumberFormat="1" applyBorder="1" applyAlignment="1">
      <alignment horizontal="center"/>
    </xf>
    <xf numFmtId="2" fontId="0" fillId="22" borderId="48" xfId="0" applyNumberFormat="1" applyFill="1" applyBorder="1" applyAlignment="1" applyProtection="1">
      <alignment horizontal="center"/>
      <protection locked="0"/>
    </xf>
    <xf numFmtId="1" fontId="9" fillId="61" borderId="3" xfId="0" applyNumberFormat="1" applyFont="1" applyFill="1" applyBorder="1" applyAlignment="1">
      <alignment horizontal="center"/>
    </xf>
    <xf numFmtId="2" fontId="8" fillId="16" borderId="0" xfId="0" applyNumberFormat="1" applyFont="1" applyFill="1" applyAlignment="1">
      <alignment horizontal="center"/>
    </xf>
    <xf numFmtId="0" fontId="0" fillId="15" borderId="48" xfId="0" applyFill="1" applyBorder="1" applyProtection="1">
      <protection locked="0"/>
    </xf>
    <xf numFmtId="0" fontId="82" fillId="0" borderId="48" xfId="0" applyFont="1" applyBorder="1" applyAlignment="1" applyProtection="1">
      <alignment horizontal="center"/>
      <protection locked="0"/>
    </xf>
    <xf numFmtId="0" fontId="0" fillId="0" borderId="0" xfId="0" applyAlignment="1">
      <alignment horizontal="center" vertical="center"/>
    </xf>
    <xf numFmtId="0" fontId="0" fillId="0" borderId="48" xfId="0" applyBorder="1" applyAlignment="1">
      <alignment horizontal="center" vertical="center"/>
    </xf>
    <xf numFmtId="2" fontId="0" fillId="15" borderId="0" xfId="0" applyNumberFormat="1" applyFill="1" applyAlignment="1">
      <alignment horizontal="center"/>
    </xf>
    <xf numFmtId="2" fontId="8" fillId="15" borderId="0" xfId="0" applyNumberFormat="1" applyFont="1" applyFill="1" applyProtection="1">
      <protection locked="0"/>
    </xf>
    <xf numFmtId="2" fontId="8" fillId="15" borderId="48" xfId="0" applyNumberFormat="1" applyFont="1" applyFill="1" applyBorder="1" applyAlignment="1" applyProtection="1">
      <alignment horizontal="center"/>
      <protection locked="0"/>
    </xf>
    <xf numFmtId="1" fontId="8" fillId="54" borderId="0" xfId="0" applyNumberFormat="1" applyFont="1" applyFill="1" applyAlignment="1">
      <alignment horizontal="center" vertical="center"/>
    </xf>
    <xf numFmtId="165" fontId="8" fillId="15" borderId="10" xfId="0" applyNumberFormat="1" applyFont="1" applyFill="1" applyBorder="1" applyAlignment="1" applyProtection="1">
      <alignment horizontal="center"/>
      <protection locked="0"/>
    </xf>
    <xf numFmtId="49" fontId="8" fillId="15" borderId="0" xfId="0" applyNumberFormat="1" applyFont="1" applyFill="1" applyAlignment="1" applyProtection="1">
      <alignment horizontal="center" vertical="center"/>
      <protection locked="0"/>
    </xf>
    <xf numFmtId="1" fontId="0" fillId="0" borderId="18" xfId="0" applyNumberFormat="1" applyBorder="1" applyAlignment="1" applyProtection="1">
      <alignment horizontal="center"/>
      <protection locked="0"/>
    </xf>
    <xf numFmtId="164" fontId="0" fillId="15" borderId="24" xfId="0" applyNumberFormat="1" applyFill="1" applyBorder="1" applyAlignment="1" applyProtection="1">
      <alignment horizontal="center"/>
      <protection locked="0"/>
    </xf>
    <xf numFmtId="164" fontId="0" fillId="15" borderId="25" xfId="0" applyNumberFormat="1" applyFill="1" applyBorder="1" applyAlignment="1" applyProtection="1">
      <alignment horizontal="center"/>
      <protection locked="0"/>
    </xf>
    <xf numFmtId="1" fontId="0" fillId="15" borderId="5" xfId="0" applyNumberFormat="1" applyFill="1" applyBorder="1" applyAlignment="1">
      <alignment horizontal="center"/>
    </xf>
    <xf numFmtId="1" fontId="0" fillId="16" borderId="16" xfId="0" applyNumberFormat="1" applyFill="1" applyBorder="1" applyAlignment="1">
      <alignment horizontal="center"/>
    </xf>
    <xf numFmtId="1" fontId="8" fillId="16" borderId="35" xfId="0" applyNumberFormat="1" applyFont="1" applyFill="1" applyBorder="1" applyAlignment="1">
      <alignment horizontal="center"/>
    </xf>
    <xf numFmtId="165" fontId="0" fillId="59" borderId="0" xfId="0" applyNumberFormat="1" applyFill="1" applyAlignment="1" applyProtection="1">
      <alignment horizontal="center"/>
      <protection locked="0"/>
    </xf>
    <xf numFmtId="164" fontId="8" fillId="23" borderId="10" xfId="0" applyNumberFormat="1" applyFont="1" applyFill="1" applyBorder="1" applyAlignment="1" applyProtection="1">
      <alignment horizontal="center"/>
      <protection locked="0"/>
    </xf>
    <xf numFmtId="165" fontId="0" fillId="64" borderId="0" xfId="0" applyNumberFormat="1" applyFill="1" applyAlignment="1" applyProtection="1">
      <alignment horizontal="center"/>
      <protection locked="0"/>
    </xf>
    <xf numFmtId="0" fontId="8" fillId="15" borderId="13" xfId="0" applyFont="1" applyFill="1" applyBorder="1" applyProtection="1">
      <protection locked="0"/>
    </xf>
    <xf numFmtId="0" fontId="13" fillId="15" borderId="0" xfId="0" applyFont="1" applyFill="1" applyAlignment="1" applyProtection="1">
      <alignment horizontal="center"/>
      <protection locked="0"/>
    </xf>
    <xf numFmtId="165" fontId="8" fillId="15" borderId="0" xfId="0" applyNumberFormat="1" applyFont="1" applyFill="1" applyAlignment="1" applyProtection="1">
      <alignment horizontal="center"/>
      <protection locked="0"/>
    </xf>
    <xf numFmtId="0" fontId="82" fillId="15" borderId="0" xfId="0" applyFont="1" applyFill="1" applyAlignment="1" applyProtection="1">
      <alignment horizontal="center"/>
      <protection locked="0"/>
    </xf>
    <xf numFmtId="166" fontId="8" fillId="15" borderId="7" xfId="0" applyNumberFormat="1" applyFont="1" applyFill="1" applyBorder="1" applyAlignment="1" applyProtection="1">
      <alignment horizontal="center"/>
      <protection locked="0"/>
    </xf>
    <xf numFmtId="175" fontId="0" fillId="15" borderId="7" xfId="0" applyNumberFormat="1" applyFill="1" applyBorder="1" applyAlignment="1" applyProtection="1">
      <alignment horizontal="center"/>
      <protection locked="0"/>
    </xf>
    <xf numFmtId="175" fontId="0" fillId="15" borderId="0" xfId="0" applyNumberFormat="1" applyFill="1" applyAlignment="1" applyProtection="1">
      <alignment horizontal="center"/>
      <protection locked="0"/>
    </xf>
    <xf numFmtId="175" fontId="0" fillId="15" borderId="48" xfId="0" applyNumberFormat="1" applyFill="1" applyBorder="1" applyAlignment="1" applyProtection="1">
      <alignment horizontal="center"/>
      <protection locked="0"/>
    </xf>
    <xf numFmtId="1" fontId="8" fillId="15" borderId="48" xfId="0" applyNumberFormat="1" applyFont="1" applyFill="1" applyBorder="1" applyAlignment="1" applyProtection="1">
      <alignment horizontal="center"/>
      <protection locked="0"/>
    </xf>
    <xf numFmtId="166" fontId="8" fillId="15" borderId="48" xfId="0" applyNumberFormat="1" applyFont="1" applyFill="1" applyBorder="1" applyAlignment="1" applyProtection="1">
      <alignment horizontal="center"/>
      <protection locked="0"/>
    </xf>
    <xf numFmtId="165" fontId="8" fillId="0" borderId="0" xfId="0" applyNumberFormat="1" applyFont="1" applyAlignment="1">
      <alignment horizontal="center"/>
    </xf>
    <xf numFmtId="165" fontId="0" fillId="64" borderId="7" xfId="0" applyNumberFormat="1" applyFill="1" applyBorder="1" applyAlignment="1" applyProtection="1">
      <alignment horizontal="center"/>
      <protection locked="0"/>
    </xf>
    <xf numFmtId="2" fontId="0" fillId="15" borderId="7" xfId="0" applyNumberFormat="1" applyFill="1" applyBorder="1" applyAlignment="1">
      <alignment horizontal="center"/>
    </xf>
    <xf numFmtId="2" fontId="8" fillId="15" borderId="7" xfId="0" applyNumberFormat="1" applyFont="1" applyFill="1" applyBorder="1" applyProtection="1">
      <protection locked="0"/>
    </xf>
    <xf numFmtId="165" fontId="0" fillId="64" borderId="48" xfId="0" applyNumberFormat="1" applyFill="1" applyBorder="1" applyAlignment="1" applyProtection="1">
      <alignment horizontal="center"/>
      <protection locked="0"/>
    </xf>
    <xf numFmtId="0" fontId="84" fillId="16" borderId="0" xfId="0" applyFont="1" applyFill="1" applyAlignment="1" applyProtection="1">
      <alignment horizontal="left"/>
      <protection locked="0"/>
    </xf>
    <xf numFmtId="1" fontId="71" fillId="15" borderId="0" xfId="0" applyNumberFormat="1" applyFont="1" applyFill="1" applyAlignment="1" applyProtection="1">
      <alignment horizontal="left"/>
      <protection locked="0"/>
    </xf>
    <xf numFmtId="1" fontId="71" fillId="16" borderId="0" xfId="0" applyNumberFormat="1" applyFont="1" applyFill="1" applyAlignment="1" applyProtection="1">
      <alignment horizontal="left"/>
      <protection locked="0"/>
    </xf>
    <xf numFmtId="1" fontId="71" fillId="16" borderId="7" xfId="0" applyNumberFormat="1" applyFont="1" applyFill="1" applyBorder="1" applyAlignment="1" applyProtection="1">
      <alignment horizontal="left"/>
      <protection locked="0"/>
    </xf>
    <xf numFmtId="1" fontId="71" fillId="16" borderId="48" xfId="0" applyNumberFormat="1" applyFont="1" applyFill="1" applyBorder="1" applyAlignment="1" applyProtection="1">
      <alignment horizontal="left"/>
      <protection locked="0"/>
    </xf>
    <xf numFmtId="1" fontId="0" fillId="22" borderId="0" xfId="0" applyNumberFormat="1" applyFill="1" applyAlignment="1" applyProtection="1">
      <alignment horizontal="center"/>
      <protection locked="0"/>
    </xf>
    <xf numFmtId="1" fontId="12" fillId="16" borderId="7" xfId="0" applyNumberFormat="1" applyFont="1" applyFill="1" applyBorder="1" applyAlignment="1" applyProtection="1">
      <alignment horizontal="left"/>
      <protection locked="0"/>
    </xf>
    <xf numFmtId="166" fontId="0" fillId="16" borderId="7" xfId="0" applyNumberFormat="1" applyFill="1" applyBorder="1" applyAlignment="1" applyProtection="1">
      <alignment horizontal="center"/>
      <protection locked="0"/>
    </xf>
    <xf numFmtId="165" fontId="8" fillId="0" borderId="7" xfId="0" applyNumberFormat="1" applyFont="1" applyBorder="1" applyAlignment="1">
      <alignment horizontal="center"/>
    </xf>
    <xf numFmtId="166" fontId="0" fillId="16" borderId="48" xfId="0" applyNumberFormat="1" applyFill="1" applyBorder="1" applyAlignment="1" applyProtection="1">
      <alignment horizontal="center"/>
      <protection locked="0"/>
    </xf>
    <xf numFmtId="165" fontId="8" fillId="0" borderId="48" xfId="0" applyNumberFormat="1" applyFont="1" applyBorder="1" applyAlignment="1">
      <alignment horizontal="center"/>
    </xf>
    <xf numFmtId="2" fontId="8" fillId="0" borderId="48" xfId="0" applyNumberFormat="1" applyFont="1" applyBorder="1" applyAlignment="1" applyProtection="1">
      <alignment horizontal="center"/>
      <protection locked="0"/>
    </xf>
    <xf numFmtId="0" fontId="83" fillId="63" borderId="0" xfId="0" applyFont="1" applyFill="1" applyAlignment="1" applyProtection="1">
      <alignment horizontal="center"/>
      <protection locked="0"/>
    </xf>
    <xf numFmtId="0" fontId="19" fillId="29" borderId="6" xfId="0" applyFont="1" applyFill="1" applyBorder="1" applyAlignment="1">
      <alignment horizontal="center" vertical="center"/>
    </xf>
    <xf numFmtId="0" fontId="19" fillId="29" borderId="8" xfId="0" applyFont="1" applyFill="1" applyBorder="1" applyAlignment="1">
      <alignment horizontal="center" vertical="center"/>
    </xf>
    <xf numFmtId="0" fontId="19" fillId="29" borderId="13" xfId="0" applyFont="1" applyFill="1" applyBorder="1" applyAlignment="1">
      <alignment horizontal="center" vertical="center"/>
    </xf>
    <xf numFmtId="0" fontId="19" fillId="29" borderId="14" xfId="0" applyFont="1" applyFill="1" applyBorder="1" applyAlignment="1">
      <alignment horizontal="center" vertical="center"/>
    </xf>
    <xf numFmtId="0" fontId="7" fillId="16" borderId="0" xfId="0" applyFont="1" applyFill="1" applyAlignment="1" applyProtection="1">
      <alignment horizontal="center" vertical="center"/>
      <protection locked="0"/>
    </xf>
    <xf numFmtId="0" fontId="7" fillId="16" borderId="12" xfId="0" applyFont="1" applyFill="1" applyBorder="1" applyAlignment="1" applyProtection="1">
      <alignment horizontal="center" vertical="center"/>
      <protection locked="0"/>
    </xf>
    <xf numFmtId="2" fontId="0" fillId="16" borderId="0" xfId="0" applyNumberFormat="1" applyFill="1" applyAlignment="1" applyProtection="1">
      <alignment horizontal="center" vertical="center"/>
      <protection locked="0"/>
    </xf>
    <xf numFmtId="2" fontId="7" fillId="16" borderId="12" xfId="0" applyNumberFormat="1" applyFont="1" applyFill="1" applyBorder="1" applyAlignment="1" applyProtection="1">
      <alignment horizontal="center" vertical="center"/>
      <protection locked="0"/>
    </xf>
    <xf numFmtId="2" fontId="7" fillId="15" borderId="0" xfId="0" applyNumberFormat="1" applyFont="1" applyFill="1" applyAlignment="1" applyProtection="1">
      <alignment horizontal="center" vertical="center"/>
      <protection locked="0"/>
    </xf>
    <xf numFmtId="2" fontId="7" fillId="15" borderId="12" xfId="0" applyNumberFormat="1" applyFont="1" applyFill="1" applyBorder="1" applyAlignment="1" applyProtection="1">
      <alignment horizontal="center" vertical="center"/>
      <protection locked="0"/>
    </xf>
    <xf numFmtId="0" fontId="7" fillId="15" borderId="0" xfId="0" applyFont="1" applyFill="1" applyAlignment="1" applyProtection="1">
      <alignment horizontal="center" vertical="center"/>
      <protection locked="0"/>
    </xf>
    <xf numFmtId="0" fontId="7" fillId="15" borderId="12" xfId="0" applyFont="1" applyFill="1" applyBorder="1" applyAlignment="1" applyProtection="1">
      <alignment horizontal="center" vertical="center"/>
      <protection locked="0"/>
    </xf>
  </cellXfs>
  <cellStyles count="931">
    <cellStyle name="20 % - Akzent1 2" xfId="919" xr:uid="{00000000-0005-0000-0000-000001000000}"/>
    <cellStyle name="20 % - Akzent2 2" xfId="921" xr:uid="{00000000-0005-0000-0000-000003000000}"/>
    <cellStyle name="20 % - Akzent3 2" xfId="923" xr:uid="{00000000-0005-0000-0000-000005000000}"/>
    <cellStyle name="20 % - Akzent4 2" xfId="925" xr:uid="{00000000-0005-0000-0000-000007000000}"/>
    <cellStyle name="20 % - Akzent5 2" xfId="927" xr:uid="{00000000-0005-0000-0000-000009000000}"/>
    <cellStyle name="20 % - Akzent6 2" xfId="929" xr:uid="{00000000-0005-0000-0000-00000B000000}"/>
    <cellStyle name="20% - Accent1" xfId="222" builtinId="30" customBuiltin="1"/>
    <cellStyle name="20% - Accent1 2" xfId="4" xr:uid="{00000000-0005-0000-0000-00000C000000}"/>
    <cellStyle name="20% - Accent1 2 2" xfId="5" xr:uid="{00000000-0005-0000-0000-00000D000000}"/>
    <cellStyle name="20% - Accent1 2 2 2" xfId="6" xr:uid="{00000000-0005-0000-0000-00000E000000}"/>
    <cellStyle name="20% - Accent1 2 2 2 2" xfId="107" xr:uid="{00000000-0005-0000-0000-00000F000000}"/>
    <cellStyle name="20% - Accent1 2 2 2 2 2" xfId="349" xr:uid="{00000000-0005-0000-0000-000010000000}"/>
    <cellStyle name="20% - Accent1 2 2 2 2 2 2" xfId="791" xr:uid="{00000000-0005-0000-0000-000011000000}"/>
    <cellStyle name="20% - Accent1 2 2 2 2 3" xfId="577" xr:uid="{00000000-0005-0000-0000-000012000000}"/>
    <cellStyle name="20% - Accent1 2 2 2 3" xfId="249" xr:uid="{00000000-0005-0000-0000-000013000000}"/>
    <cellStyle name="20% - Accent1 2 2 2 3 2" xfId="691" xr:uid="{00000000-0005-0000-0000-000014000000}"/>
    <cellStyle name="20% - Accent1 2 2 2 4" xfId="477" xr:uid="{00000000-0005-0000-0000-000015000000}"/>
    <cellStyle name="20% - Accent1 2 2 3" xfId="106" xr:uid="{00000000-0005-0000-0000-000016000000}"/>
    <cellStyle name="20% - Accent1 2 2 3 2" xfId="348" xr:uid="{00000000-0005-0000-0000-000017000000}"/>
    <cellStyle name="20% - Accent1 2 2 3 2 2" xfId="790" xr:uid="{00000000-0005-0000-0000-000018000000}"/>
    <cellStyle name="20% - Accent1 2 2 3 3" xfId="576" xr:uid="{00000000-0005-0000-0000-000019000000}"/>
    <cellStyle name="20% - Accent1 2 2 4" xfId="248" xr:uid="{00000000-0005-0000-0000-00001A000000}"/>
    <cellStyle name="20% - Accent1 2 2 4 2" xfId="690" xr:uid="{00000000-0005-0000-0000-00001B000000}"/>
    <cellStyle name="20% - Accent1 2 2 5" xfId="476" xr:uid="{00000000-0005-0000-0000-00001C000000}"/>
    <cellStyle name="20% - Accent1 2 3" xfId="7" xr:uid="{00000000-0005-0000-0000-00001D000000}"/>
    <cellStyle name="20% - Accent1 2 3 2" xfId="108" xr:uid="{00000000-0005-0000-0000-00001E000000}"/>
    <cellStyle name="20% - Accent1 2 3 2 2" xfId="350" xr:uid="{00000000-0005-0000-0000-00001F000000}"/>
    <cellStyle name="20% - Accent1 2 3 2 2 2" xfId="792" xr:uid="{00000000-0005-0000-0000-000020000000}"/>
    <cellStyle name="20% - Accent1 2 3 2 3" xfId="578" xr:uid="{00000000-0005-0000-0000-000021000000}"/>
    <cellStyle name="20% - Accent1 2 3 3" xfId="250" xr:uid="{00000000-0005-0000-0000-000022000000}"/>
    <cellStyle name="20% - Accent1 2 3 3 2" xfId="692" xr:uid="{00000000-0005-0000-0000-000023000000}"/>
    <cellStyle name="20% - Accent1 2 3 4" xfId="478" xr:uid="{00000000-0005-0000-0000-000024000000}"/>
    <cellStyle name="20% - Accent1 2 4" xfId="105" xr:uid="{00000000-0005-0000-0000-000025000000}"/>
    <cellStyle name="20% - Accent1 2 4 2" xfId="347" xr:uid="{00000000-0005-0000-0000-000026000000}"/>
    <cellStyle name="20% - Accent1 2 4 2 2" xfId="789" xr:uid="{00000000-0005-0000-0000-000027000000}"/>
    <cellStyle name="20% - Accent1 2 4 3" xfId="575" xr:uid="{00000000-0005-0000-0000-000028000000}"/>
    <cellStyle name="20% - Accent1 2 5" xfId="247" xr:uid="{00000000-0005-0000-0000-000029000000}"/>
    <cellStyle name="20% - Accent1 2 5 2" xfId="689" xr:uid="{00000000-0005-0000-0000-00002A000000}"/>
    <cellStyle name="20% - Accent1 2 6" xfId="475" xr:uid="{00000000-0005-0000-0000-00002B000000}"/>
    <cellStyle name="20% - Accent1 3" xfId="461" xr:uid="{00000000-0005-0000-0000-00002C000000}"/>
    <cellStyle name="20% - Accent1 3 2" xfId="903" xr:uid="{00000000-0005-0000-0000-00002D000000}"/>
    <cellStyle name="20% - Accent1 4" xfId="447" xr:uid="{00000000-0005-0000-0000-00002E000000}"/>
    <cellStyle name="20% - Accent1 4 2" xfId="889" xr:uid="{00000000-0005-0000-0000-00002F000000}"/>
    <cellStyle name="20% - Accent1 5" xfId="675" xr:uid="{00000000-0005-0000-0000-000030000000}"/>
    <cellStyle name="20% - Accent2" xfId="226" builtinId="34" customBuiltin="1"/>
    <cellStyle name="20% - Accent2 2" xfId="8" xr:uid="{00000000-0005-0000-0000-000031000000}"/>
    <cellStyle name="20% - Accent2 2 2" xfId="9" xr:uid="{00000000-0005-0000-0000-000032000000}"/>
    <cellStyle name="20% - Accent2 2 2 2" xfId="10" xr:uid="{00000000-0005-0000-0000-000033000000}"/>
    <cellStyle name="20% - Accent2 2 2 2 2" xfId="111" xr:uid="{00000000-0005-0000-0000-000034000000}"/>
    <cellStyle name="20% - Accent2 2 2 2 2 2" xfId="353" xr:uid="{00000000-0005-0000-0000-000035000000}"/>
    <cellStyle name="20% - Accent2 2 2 2 2 2 2" xfId="795" xr:uid="{00000000-0005-0000-0000-000036000000}"/>
    <cellStyle name="20% - Accent2 2 2 2 2 3" xfId="581" xr:uid="{00000000-0005-0000-0000-000037000000}"/>
    <cellStyle name="20% - Accent2 2 2 2 3" xfId="253" xr:uid="{00000000-0005-0000-0000-000038000000}"/>
    <cellStyle name="20% - Accent2 2 2 2 3 2" xfId="695" xr:uid="{00000000-0005-0000-0000-000039000000}"/>
    <cellStyle name="20% - Accent2 2 2 2 4" xfId="481" xr:uid="{00000000-0005-0000-0000-00003A000000}"/>
    <cellStyle name="20% - Accent2 2 2 3" xfId="110" xr:uid="{00000000-0005-0000-0000-00003B000000}"/>
    <cellStyle name="20% - Accent2 2 2 3 2" xfId="352" xr:uid="{00000000-0005-0000-0000-00003C000000}"/>
    <cellStyle name="20% - Accent2 2 2 3 2 2" xfId="794" xr:uid="{00000000-0005-0000-0000-00003D000000}"/>
    <cellStyle name="20% - Accent2 2 2 3 3" xfId="580" xr:uid="{00000000-0005-0000-0000-00003E000000}"/>
    <cellStyle name="20% - Accent2 2 2 4" xfId="252" xr:uid="{00000000-0005-0000-0000-00003F000000}"/>
    <cellStyle name="20% - Accent2 2 2 4 2" xfId="694" xr:uid="{00000000-0005-0000-0000-000040000000}"/>
    <cellStyle name="20% - Accent2 2 2 5" xfId="480" xr:uid="{00000000-0005-0000-0000-000041000000}"/>
    <cellStyle name="20% - Accent2 2 3" xfId="11" xr:uid="{00000000-0005-0000-0000-000042000000}"/>
    <cellStyle name="20% - Accent2 2 3 2" xfId="112" xr:uid="{00000000-0005-0000-0000-000043000000}"/>
    <cellStyle name="20% - Accent2 2 3 2 2" xfId="354" xr:uid="{00000000-0005-0000-0000-000044000000}"/>
    <cellStyle name="20% - Accent2 2 3 2 2 2" xfId="796" xr:uid="{00000000-0005-0000-0000-000045000000}"/>
    <cellStyle name="20% - Accent2 2 3 2 3" xfId="582" xr:uid="{00000000-0005-0000-0000-000046000000}"/>
    <cellStyle name="20% - Accent2 2 3 3" xfId="254" xr:uid="{00000000-0005-0000-0000-000047000000}"/>
    <cellStyle name="20% - Accent2 2 3 3 2" xfId="696" xr:uid="{00000000-0005-0000-0000-000048000000}"/>
    <cellStyle name="20% - Accent2 2 3 4" xfId="482" xr:uid="{00000000-0005-0000-0000-000049000000}"/>
    <cellStyle name="20% - Accent2 2 4" xfId="109" xr:uid="{00000000-0005-0000-0000-00004A000000}"/>
    <cellStyle name="20% - Accent2 2 4 2" xfId="351" xr:uid="{00000000-0005-0000-0000-00004B000000}"/>
    <cellStyle name="20% - Accent2 2 4 2 2" xfId="793" xr:uid="{00000000-0005-0000-0000-00004C000000}"/>
    <cellStyle name="20% - Accent2 2 4 3" xfId="579" xr:uid="{00000000-0005-0000-0000-00004D000000}"/>
    <cellStyle name="20% - Accent2 2 5" xfId="251" xr:uid="{00000000-0005-0000-0000-00004E000000}"/>
    <cellStyle name="20% - Accent2 2 5 2" xfId="693" xr:uid="{00000000-0005-0000-0000-00004F000000}"/>
    <cellStyle name="20% - Accent2 2 6" xfId="479" xr:uid="{00000000-0005-0000-0000-000050000000}"/>
    <cellStyle name="20% - Accent2 3" xfId="463" xr:uid="{00000000-0005-0000-0000-000051000000}"/>
    <cellStyle name="20% - Accent2 3 2" xfId="905" xr:uid="{00000000-0005-0000-0000-000052000000}"/>
    <cellStyle name="20% - Accent2 4" xfId="449" xr:uid="{00000000-0005-0000-0000-000053000000}"/>
    <cellStyle name="20% - Accent2 4 2" xfId="891" xr:uid="{00000000-0005-0000-0000-000054000000}"/>
    <cellStyle name="20% - Accent2 5" xfId="677" xr:uid="{00000000-0005-0000-0000-000055000000}"/>
    <cellStyle name="20% - Accent3" xfId="230" builtinId="38" customBuiltin="1"/>
    <cellStyle name="20% - Accent3 2" xfId="12" xr:uid="{00000000-0005-0000-0000-000056000000}"/>
    <cellStyle name="20% - Accent3 2 2" xfId="13" xr:uid="{00000000-0005-0000-0000-000057000000}"/>
    <cellStyle name="20% - Accent3 2 2 2" xfId="14" xr:uid="{00000000-0005-0000-0000-000058000000}"/>
    <cellStyle name="20% - Accent3 2 2 2 2" xfId="115" xr:uid="{00000000-0005-0000-0000-000059000000}"/>
    <cellStyle name="20% - Accent3 2 2 2 2 2" xfId="357" xr:uid="{00000000-0005-0000-0000-00005A000000}"/>
    <cellStyle name="20% - Accent3 2 2 2 2 2 2" xfId="799" xr:uid="{00000000-0005-0000-0000-00005B000000}"/>
    <cellStyle name="20% - Accent3 2 2 2 2 3" xfId="585" xr:uid="{00000000-0005-0000-0000-00005C000000}"/>
    <cellStyle name="20% - Accent3 2 2 2 3" xfId="257" xr:uid="{00000000-0005-0000-0000-00005D000000}"/>
    <cellStyle name="20% - Accent3 2 2 2 3 2" xfId="699" xr:uid="{00000000-0005-0000-0000-00005E000000}"/>
    <cellStyle name="20% - Accent3 2 2 2 4" xfId="485" xr:uid="{00000000-0005-0000-0000-00005F000000}"/>
    <cellStyle name="20% - Accent3 2 2 3" xfId="114" xr:uid="{00000000-0005-0000-0000-000060000000}"/>
    <cellStyle name="20% - Accent3 2 2 3 2" xfId="356" xr:uid="{00000000-0005-0000-0000-000061000000}"/>
    <cellStyle name="20% - Accent3 2 2 3 2 2" xfId="798" xr:uid="{00000000-0005-0000-0000-000062000000}"/>
    <cellStyle name="20% - Accent3 2 2 3 3" xfId="584" xr:uid="{00000000-0005-0000-0000-000063000000}"/>
    <cellStyle name="20% - Accent3 2 2 4" xfId="256" xr:uid="{00000000-0005-0000-0000-000064000000}"/>
    <cellStyle name="20% - Accent3 2 2 4 2" xfId="698" xr:uid="{00000000-0005-0000-0000-000065000000}"/>
    <cellStyle name="20% - Accent3 2 2 5" xfId="484" xr:uid="{00000000-0005-0000-0000-000066000000}"/>
    <cellStyle name="20% - Accent3 2 3" xfId="15" xr:uid="{00000000-0005-0000-0000-000067000000}"/>
    <cellStyle name="20% - Accent3 2 3 2" xfId="116" xr:uid="{00000000-0005-0000-0000-000068000000}"/>
    <cellStyle name="20% - Accent3 2 3 2 2" xfId="358" xr:uid="{00000000-0005-0000-0000-000069000000}"/>
    <cellStyle name="20% - Accent3 2 3 2 2 2" xfId="800" xr:uid="{00000000-0005-0000-0000-00006A000000}"/>
    <cellStyle name="20% - Accent3 2 3 2 3" xfId="586" xr:uid="{00000000-0005-0000-0000-00006B000000}"/>
    <cellStyle name="20% - Accent3 2 3 3" xfId="258" xr:uid="{00000000-0005-0000-0000-00006C000000}"/>
    <cellStyle name="20% - Accent3 2 3 3 2" xfId="700" xr:uid="{00000000-0005-0000-0000-00006D000000}"/>
    <cellStyle name="20% - Accent3 2 3 4" xfId="486" xr:uid="{00000000-0005-0000-0000-00006E000000}"/>
    <cellStyle name="20% - Accent3 2 4" xfId="113" xr:uid="{00000000-0005-0000-0000-00006F000000}"/>
    <cellStyle name="20% - Accent3 2 4 2" xfId="355" xr:uid="{00000000-0005-0000-0000-000070000000}"/>
    <cellStyle name="20% - Accent3 2 4 2 2" xfId="797" xr:uid="{00000000-0005-0000-0000-000071000000}"/>
    <cellStyle name="20% - Accent3 2 4 3" xfId="583" xr:uid="{00000000-0005-0000-0000-000072000000}"/>
    <cellStyle name="20% - Accent3 2 5" xfId="255" xr:uid="{00000000-0005-0000-0000-000073000000}"/>
    <cellStyle name="20% - Accent3 2 5 2" xfId="697" xr:uid="{00000000-0005-0000-0000-000074000000}"/>
    <cellStyle name="20% - Accent3 2 6" xfId="483" xr:uid="{00000000-0005-0000-0000-000075000000}"/>
    <cellStyle name="20% - Accent3 3" xfId="465" xr:uid="{00000000-0005-0000-0000-000076000000}"/>
    <cellStyle name="20% - Accent3 3 2" xfId="907" xr:uid="{00000000-0005-0000-0000-000077000000}"/>
    <cellStyle name="20% - Accent3 4" xfId="451" xr:uid="{00000000-0005-0000-0000-000078000000}"/>
    <cellStyle name="20% - Accent3 4 2" xfId="893" xr:uid="{00000000-0005-0000-0000-000079000000}"/>
    <cellStyle name="20% - Accent3 5" xfId="679" xr:uid="{00000000-0005-0000-0000-00007A000000}"/>
    <cellStyle name="20% - Accent4" xfId="234" builtinId="42" customBuiltin="1"/>
    <cellStyle name="20% - Accent4 2" xfId="16" xr:uid="{00000000-0005-0000-0000-00007B000000}"/>
    <cellStyle name="20% - Accent4 2 2" xfId="17" xr:uid="{00000000-0005-0000-0000-00007C000000}"/>
    <cellStyle name="20% - Accent4 2 2 2" xfId="18" xr:uid="{00000000-0005-0000-0000-00007D000000}"/>
    <cellStyle name="20% - Accent4 2 2 2 2" xfId="119" xr:uid="{00000000-0005-0000-0000-00007E000000}"/>
    <cellStyle name="20% - Accent4 2 2 2 2 2" xfId="361" xr:uid="{00000000-0005-0000-0000-00007F000000}"/>
    <cellStyle name="20% - Accent4 2 2 2 2 2 2" xfId="803" xr:uid="{00000000-0005-0000-0000-000080000000}"/>
    <cellStyle name="20% - Accent4 2 2 2 2 3" xfId="589" xr:uid="{00000000-0005-0000-0000-000081000000}"/>
    <cellStyle name="20% - Accent4 2 2 2 3" xfId="261" xr:uid="{00000000-0005-0000-0000-000082000000}"/>
    <cellStyle name="20% - Accent4 2 2 2 3 2" xfId="703" xr:uid="{00000000-0005-0000-0000-000083000000}"/>
    <cellStyle name="20% - Accent4 2 2 2 4" xfId="489" xr:uid="{00000000-0005-0000-0000-000084000000}"/>
    <cellStyle name="20% - Accent4 2 2 3" xfId="118" xr:uid="{00000000-0005-0000-0000-000085000000}"/>
    <cellStyle name="20% - Accent4 2 2 3 2" xfId="360" xr:uid="{00000000-0005-0000-0000-000086000000}"/>
    <cellStyle name="20% - Accent4 2 2 3 2 2" xfId="802" xr:uid="{00000000-0005-0000-0000-000087000000}"/>
    <cellStyle name="20% - Accent4 2 2 3 3" xfId="588" xr:uid="{00000000-0005-0000-0000-000088000000}"/>
    <cellStyle name="20% - Accent4 2 2 4" xfId="260" xr:uid="{00000000-0005-0000-0000-000089000000}"/>
    <cellStyle name="20% - Accent4 2 2 4 2" xfId="702" xr:uid="{00000000-0005-0000-0000-00008A000000}"/>
    <cellStyle name="20% - Accent4 2 2 5" xfId="488" xr:uid="{00000000-0005-0000-0000-00008B000000}"/>
    <cellStyle name="20% - Accent4 2 3" xfId="19" xr:uid="{00000000-0005-0000-0000-00008C000000}"/>
    <cellStyle name="20% - Accent4 2 3 2" xfId="120" xr:uid="{00000000-0005-0000-0000-00008D000000}"/>
    <cellStyle name="20% - Accent4 2 3 2 2" xfId="362" xr:uid="{00000000-0005-0000-0000-00008E000000}"/>
    <cellStyle name="20% - Accent4 2 3 2 2 2" xfId="804" xr:uid="{00000000-0005-0000-0000-00008F000000}"/>
    <cellStyle name="20% - Accent4 2 3 2 3" xfId="590" xr:uid="{00000000-0005-0000-0000-000090000000}"/>
    <cellStyle name="20% - Accent4 2 3 3" xfId="262" xr:uid="{00000000-0005-0000-0000-000091000000}"/>
    <cellStyle name="20% - Accent4 2 3 3 2" xfId="704" xr:uid="{00000000-0005-0000-0000-000092000000}"/>
    <cellStyle name="20% - Accent4 2 3 4" xfId="490" xr:uid="{00000000-0005-0000-0000-000093000000}"/>
    <cellStyle name="20% - Accent4 2 4" xfId="117" xr:uid="{00000000-0005-0000-0000-000094000000}"/>
    <cellStyle name="20% - Accent4 2 4 2" xfId="359" xr:uid="{00000000-0005-0000-0000-000095000000}"/>
    <cellStyle name="20% - Accent4 2 4 2 2" xfId="801" xr:uid="{00000000-0005-0000-0000-000096000000}"/>
    <cellStyle name="20% - Accent4 2 4 3" xfId="587" xr:uid="{00000000-0005-0000-0000-000097000000}"/>
    <cellStyle name="20% - Accent4 2 5" xfId="259" xr:uid="{00000000-0005-0000-0000-000098000000}"/>
    <cellStyle name="20% - Accent4 2 5 2" xfId="701" xr:uid="{00000000-0005-0000-0000-000099000000}"/>
    <cellStyle name="20% - Accent4 2 6" xfId="487" xr:uid="{00000000-0005-0000-0000-00009A000000}"/>
    <cellStyle name="20% - Accent4 3" xfId="467" xr:uid="{00000000-0005-0000-0000-00009B000000}"/>
    <cellStyle name="20% - Accent4 3 2" xfId="909" xr:uid="{00000000-0005-0000-0000-00009C000000}"/>
    <cellStyle name="20% - Accent4 4" xfId="453" xr:uid="{00000000-0005-0000-0000-00009D000000}"/>
    <cellStyle name="20% - Accent4 4 2" xfId="895" xr:uid="{00000000-0005-0000-0000-00009E000000}"/>
    <cellStyle name="20% - Accent4 5" xfId="681" xr:uid="{00000000-0005-0000-0000-00009F000000}"/>
    <cellStyle name="20% - Accent5" xfId="238" builtinId="46" customBuiltin="1"/>
    <cellStyle name="20% - Accent5 2" xfId="20" xr:uid="{00000000-0005-0000-0000-0000A0000000}"/>
    <cellStyle name="20% - Accent5 2 2" xfId="21" xr:uid="{00000000-0005-0000-0000-0000A1000000}"/>
    <cellStyle name="20% - Accent5 2 2 2" xfId="22" xr:uid="{00000000-0005-0000-0000-0000A2000000}"/>
    <cellStyle name="20% - Accent5 2 2 2 2" xfId="123" xr:uid="{00000000-0005-0000-0000-0000A3000000}"/>
    <cellStyle name="20% - Accent5 2 2 2 2 2" xfId="365" xr:uid="{00000000-0005-0000-0000-0000A4000000}"/>
    <cellStyle name="20% - Accent5 2 2 2 2 2 2" xfId="807" xr:uid="{00000000-0005-0000-0000-0000A5000000}"/>
    <cellStyle name="20% - Accent5 2 2 2 2 3" xfId="593" xr:uid="{00000000-0005-0000-0000-0000A6000000}"/>
    <cellStyle name="20% - Accent5 2 2 2 3" xfId="265" xr:uid="{00000000-0005-0000-0000-0000A7000000}"/>
    <cellStyle name="20% - Accent5 2 2 2 3 2" xfId="707" xr:uid="{00000000-0005-0000-0000-0000A8000000}"/>
    <cellStyle name="20% - Accent5 2 2 2 4" xfId="493" xr:uid="{00000000-0005-0000-0000-0000A9000000}"/>
    <cellStyle name="20% - Accent5 2 2 3" xfId="122" xr:uid="{00000000-0005-0000-0000-0000AA000000}"/>
    <cellStyle name="20% - Accent5 2 2 3 2" xfId="364" xr:uid="{00000000-0005-0000-0000-0000AB000000}"/>
    <cellStyle name="20% - Accent5 2 2 3 2 2" xfId="806" xr:uid="{00000000-0005-0000-0000-0000AC000000}"/>
    <cellStyle name="20% - Accent5 2 2 3 3" xfId="592" xr:uid="{00000000-0005-0000-0000-0000AD000000}"/>
    <cellStyle name="20% - Accent5 2 2 4" xfId="264" xr:uid="{00000000-0005-0000-0000-0000AE000000}"/>
    <cellStyle name="20% - Accent5 2 2 4 2" xfId="706" xr:uid="{00000000-0005-0000-0000-0000AF000000}"/>
    <cellStyle name="20% - Accent5 2 2 5" xfId="492" xr:uid="{00000000-0005-0000-0000-0000B0000000}"/>
    <cellStyle name="20% - Accent5 2 3" xfId="23" xr:uid="{00000000-0005-0000-0000-0000B1000000}"/>
    <cellStyle name="20% - Accent5 2 3 2" xfId="124" xr:uid="{00000000-0005-0000-0000-0000B2000000}"/>
    <cellStyle name="20% - Accent5 2 3 2 2" xfId="366" xr:uid="{00000000-0005-0000-0000-0000B3000000}"/>
    <cellStyle name="20% - Accent5 2 3 2 2 2" xfId="808" xr:uid="{00000000-0005-0000-0000-0000B4000000}"/>
    <cellStyle name="20% - Accent5 2 3 2 3" xfId="594" xr:uid="{00000000-0005-0000-0000-0000B5000000}"/>
    <cellStyle name="20% - Accent5 2 3 3" xfId="266" xr:uid="{00000000-0005-0000-0000-0000B6000000}"/>
    <cellStyle name="20% - Accent5 2 3 3 2" xfId="708" xr:uid="{00000000-0005-0000-0000-0000B7000000}"/>
    <cellStyle name="20% - Accent5 2 3 4" xfId="494" xr:uid="{00000000-0005-0000-0000-0000B8000000}"/>
    <cellStyle name="20% - Accent5 2 4" xfId="121" xr:uid="{00000000-0005-0000-0000-0000B9000000}"/>
    <cellStyle name="20% - Accent5 2 4 2" xfId="363" xr:uid="{00000000-0005-0000-0000-0000BA000000}"/>
    <cellStyle name="20% - Accent5 2 4 2 2" xfId="805" xr:uid="{00000000-0005-0000-0000-0000BB000000}"/>
    <cellStyle name="20% - Accent5 2 4 3" xfId="591" xr:uid="{00000000-0005-0000-0000-0000BC000000}"/>
    <cellStyle name="20% - Accent5 2 5" xfId="263" xr:uid="{00000000-0005-0000-0000-0000BD000000}"/>
    <cellStyle name="20% - Accent5 2 5 2" xfId="705" xr:uid="{00000000-0005-0000-0000-0000BE000000}"/>
    <cellStyle name="20% - Accent5 2 6" xfId="491" xr:uid="{00000000-0005-0000-0000-0000BF000000}"/>
    <cellStyle name="20% - Accent5 3" xfId="469" xr:uid="{00000000-0005-0000-0000-0000C0000000}"/>
    <cellStyle name="20% - Accent5 3 2" xfId="911" xr:uid="{00000000-0005-0000-0000-0000C1000000}"/>
    <cellStyle name="20% - Accent5 4" xfId="455" xr:uid="{00000000-0005-0000-0000-0000C2000000}"/>
    <cellStyle name="20% - Accent5 4 2" xfId="897" xr:uid="{00000000-0005-0000-0000-0000C3000000}"/>
    <cellStyle name="20% - Accent5 5" xfId="683" xr:uid="{00000000-0005-0000-0000-0000C4000000}"/>
    <cellStyle name="20% - Accent6" xfId="242" builtinId="50" customBuiltin="1"/>
    <cellStyle name="20% - Accent6 2" xfId="24" xr:uid="{00000000-0005-0000-0000-0000C5000000}"/>
    <cellStyle name="20% - Accent6 2 2" xfId="25" xr:uid="{00000000-0005-0000-0000-0000C6000000}"/>
    <cellStyle name="20% - Accent6 2 2 2" xfId="26" xr:uid="{00000000-0005-0000-0000-0000C7000000}"/>
    <cellStyle name="20% - Accent6 2 2 2 2" xfId="127" xr:uid="{00000000-0005-0000-0000-0000C8000000}"/>
    <cellStyle name="20% - Accent6 2 2 2 2 2" xfId="369" xr:uid="{00000000-0005-0000-0000-0000C9000000}"/>
    <cellStyle name="20% - Accent6 2 2 2 2 2 2" xfId="811" xr:uid="{00000000-0005-0000-0000-0000CA000000}"/>
    <cellStyle name="20% - Accent6 2 2 2 2 3" xfId="597" xr:uid="{00000000-0005-0000-0000-0000CB000000}"/>
    <cellStyle name="20% - Accent6 2 2 2 3" xfId="269" xr:uid="{00000000-0005-0000-0000-0000CC000000}"/>
    <cellStyle name="20% - Accent6 2 2 2 3 2" xfId="711" xr:uid="{00000000-0005-0000-0000-0000CD000000}"/>
    <cellStyle name="20% - Accent6 2 2 2 4" xfId="497" xr:uid="{00000000-0005-0000-0000-0000CE000000}"/>
    <cellStyle name="20% - Accent6 2 2 3" xfId="126" xr:uid="{00000000-0005-0000-0000-0000CF000000}"/>
    <cellStyle name="20% - Accent6 2 2 3 2" xfId="368" xr:uid="{00000000-0005-0000-0000-0000D0000000}"/>
    <cellStyle name="20% - Accent6 2 2 3 2 2" xfId="810" xr:uid="{00000000-0005-0000-0000-0000D1000000}"/>
    <cellStyle name="20% - Accent6 2 2 3 3" xfId="596" xr:uid="{00000000-0005-0000-0000-0000D2000000}"/>
    <cellStyle name="20% - Accent6 2 2 4" xfId="268" xr:uid="{00000000-0005-0000-0000-0000D3000000}"/>
    <cellStyle name="20% - Accent6 2 2 4 2" xfId="710" xr:uid="{00000000-0005-0000-0000-0000D4000000}"/>
    <cellStyle name="20% - Accent6 2 2 5" xfId="496" xr:uid="{00000000-0005-0000-0000-0000D5000000}"/>
    <cellStyle name="20% - Accent6 2 3" xfId="27" xr:uid="{00000000-0005-0000-0000-0000D6000000}"/>
    <cellStyle name="20% - Accent6 2 3 2" xfId="128" xr:uid="{00000000-0005-0000-0000-0000D7000000}"/>
    <cellStyle name="20% - Accent6 2 3 2 2" xfId="370" xr:uid="{00000000-0005-0000-0000-0000D8000000}"/>
    <cellStyle name="20% - Accent6 2 3 2 2 2" xfId="812" xr:uid="{00000000-0005-0000-0000-0000D9000000}"/>
    <cellStyle name="20% - Accent6 2 3 2 3" xfId="598" xr:uid="{00000000-0005-0000-0000-0000DA000000}"/>
    <cellStyle name="20% - Accent6 2 3 3" xfId="270" xr:uid="{00000000-0005-0000-0000-0000DB000000}"/>
    <cellStyle name="20% - Accent6 2 3 3 2" xfId="712" xr:uid="{00000000-0005-0000-0000-0000DC000000}"/>
    <cellStyle name="20% - Accent6 2 3 4" xfId="498" xr:uid="{00000000-0005-0000-0000-0000DD000000}"/>
    <cellStyle name="20% - Accent6 2 4" xfId="125" xr:uid="{00000000-0005-0000-0000-0000DE000000}"/>
    <cellStyle name="20% - Accent6 2 4 2" xfId="367" xr:uid="{00000000-0005-0000-0000-0000DF000000}"/>
    <cellStyle name="20% - Accent6 2 4 2 2" xfId="809" xr:uid="{00000000-0005-0000-0000-0000E0000000}"/>
    <cellStyle name="20% - Accent6 2 4 3" xfId="595" xr:uid="{00000000-0005-0000-0000-0000E1000000}"/>
    <cellStyle name="20% - Accent6 2 5" xfId="267" xr:uid="{00000000-0005-0000-0000-0000E2000000}"/>
    <cellStyle name="20% - Accent6 2 5 2" xfId="709" xr:uid="{00000000-0005-0000-0000-0000E3000000}"/>
    <cellStyle name="20% - Accent6 2 6" xfId="495" xr:uid="{00000000-0005-0000-0000-0000E4000000}"/>
    <cellStyle name="20% - Accent6 3" xfId="471" xr:uid="{00000000-0005-0000-0000-0000E5000000}"/>
    <cellStyle name="20% - Accent6 3 2" xfId="913" xr:uid="{00000000-0005-0000-0000-0000E6000000}"/>
    <cellStyle name="20% - Accent6 4" xfId="457" xr:uid="{00000000-0005-0000-0000-0000E7000000}"/>
    <cellStyle name="20% - Accent6 4 2" xfId="899" xr:uid="{00000000-0005-0000-0000-0000E8000000}"/>
    <cellStyle name="20% - Accent6 5" xfId="685" xr:uid="{00000000-0005-0000-0000-0000E9000000}"/>
    <cellStyle name="20% - Énfasis1 2" xfId="28" xr:uid="{00000000-0005-0000-0000-0000EA000000}"/>
    <cellStyle name="20% - Énfasis1 2 2" xfId="29" xr:uid="{00000000-0005-0000-0000-0000EB000000}"/>
    <cellStyle name="20% - Énfasis1 2 2 2" xfId="130" xr:uid="{00000000-0005-0000-0000-0000EC000000}"/>
    <cellStyle name="20% - Énfasis1 2 2 2 2" xfId="372" xr:uid="{00000000-0005-0000-0000-0000ED000000}"/>
    <cellStyle name="20% - Énfasis1 2 2 2 2 2" xfId="814" xr:uid="{00000000-0005-0000-0000-0000EE000000}"/>
    <cellStyle name="20% - Énfasis1 2 2 2 3" xfId="600" xr:uid="{00000000-0005-0000-0000-0000EF000000}"/>
    <cellStyle name="20% - Énfasis1 2 2 3" xfId="272" xr:uid="{00000000-0005-0000-0000-0000F0000000}"/>
    <cellStyle name="20% - Énfasis1 2 2 3 2" xfId="714" xr:uid="{00000000-0005-0000-0000-0000F1000000}"/>
    <cellStyle name="20% - Énfasis1 2 2 4" xfId="500" xr:uid="{00000000-0005-0000-0000-0000F2000000}"/>
    <cellStyle name="20% - Énfasis1 2 3" xfId="129" xr:uid="{00000000-0005-0000-0000-0000F3000000}"/>
    <cellStyle name="20% - Énfasis1 2 3 2" xfId="371" xr:uid="{00000000-0005-0000-0000-0000F4000000}"/>
    <cellStyle name="20% - Énfasis1 2 3 2 2" xfId="813" xr:uid="{00000000-0005-0000-0000-0000F5000000}"/>
    <cellStyle name="20% - Énfasis1 2 3 3" xfId="599" xr:uid="{00000000-0005-0000-0000-0000F6000000}"/>
    <cellStyle name="20% - Énfasis1 2 4" xfId="271" xr:uid="{00000000-0005-0000-0000-0000F7000000}"/>
    <cellStyle name="20% - Énfasis1 2 4 2" xfId="713" xr:uid="{00000000-0005-0000-0000-0000F8000000}"/>
    <cellStyle name="20% - Énfasis1 2 5" xfId="499" xr:uid="{00000000-0005-0000-0000-0000F9000000}"/>
    <cellStyle name="20% - Énfasis1 3" xfId="30" xr:uid="{00000000-0005-0000-0000-0000FA000000}"/>
    <cellStyle name="20% - Énfasis1 3 2" xfId="131" xr:uid="{00000000-0005-0000-0000-0000FB000000}"/>
    <cellStyle name="20% - Énfasis1 3 2 2" xfId="373" xr:uid="{00000000-0005-0000-0000-0000FC000000}"/>
    <cellStyle name="20% - Énfasis1 3 2 2 2" xfId="815" xr:uid="{00000000-0005-0000-0000-0000FD000000}"/>
    <cellStyle name="20% - Énfasis1 3 2 3" xfId="601" xr:uid="{00000000-0005-0000-0000-0000FE000000}"/>
    <cellStyle name="20% - Énfasis1 3 3" xfId="273" xr:uid="{00000000-0005-0000-0000-0000FF000000}"/>
    <cellStyle name="20% - Énfasis1 3 3 2" xfId="715" xr:uid="{00000000-0005-0000-0000-000000010000}"/>
    <cellStyle name="20% - Énfasis1 3 4" xfId="501" xr:uid="{00000000-0005-0000-0000-000001010000}"/>
    <cellStyle name="20% - Énfasis2 2" xfId="31" xr:uid="{00000000-0005-0000-0000-000002010000}"/>
    <cellStyle name="20% - Énfasis2 2 2" xfId="32" xr:uid="{00000000-0005-0000-0000-000003010000}"/>
    <cellStyle name="20% - Énfasis2 2 2 2" xfId="133" xr:uid="{00000000-0005-0000-0000-000004010000}"/>
    <cellStyle name="20% - Énfasis2 2 2 2 2" xfId="375" xr:uid="{00000000-0005-0000-0000-000005010000}"/>
    <cellStyle name="20% - Énfasis2 2 2 2 2 2" xfId="817" xr:uid="{00000000-0005-0000-0000-000006010000}"/>
    <cellStyle name="20% - Énfasis2 2 2 2 3" xfId="603" xr:uid="{00000000-0005-0000-0000-000007010000}"/>
    <cellStyle name="20% - Énfasis2 2 2 3" xfId="275" xr:uid="{00000000-0005-0000-0000-000008010000}"/>
    <cellStyle name="20% - Énfasis2 2 2 3 2" xfId="717" xr:uid="{00000000-0005-0000-0000-000009010000}"/>
    <cellStyle name="20% - Énfasis2 2 2 4" xfId="503" xr:uid="{00000000-0005-0000-0000-00000A010000}"/>
    <cellStyle name="20% - Énfasis2 2 3" xfId="132" xr:uid="{00000000-0005-0000-0000-00000B010000}"/>
    <cellStyle name="20% - Énfasis2 2 3 2" xfId="374" xr:uid="{00000000-0005-0000-0000-00000C010000}"/>
    <cellStyle name="20% - Énfasis2 2 3 2 2" xfId="816" xr:uid="{00000000-0005-0000-0000-00000D010000}"/>
    <cellStyle name="20% - Énfasis2 2 3 3" xfId="602" xr:uid="{00000000-0005-0000-0000-00000E010000}"/>
    <cellStyle name="20% - Énfasis2 2 4" xfId="274" xr:uid="{00000000-0005-0000-0000-00000F010000}"/>
    <cellStyle name="20% - Énfasis2 2 4 2" xfId="716" xr:uid="{00000000-0005-0000-0000-000010010000}"/>
    <cellStyle name="20% - Énfasis2 2 5" xfId="502" xr:uid="{00000000-0005-0000-0000-000011010000}"/>
    <cellStyle name="20% - Énfasis2 3" xfId="33" xr:uid="{00000000-0005-0000-0000-000012010000}"/>
    <cellStyle name="20% - Énfasis2 3 2" xfId="134" xr:uid="{00000000-0005-0000-0000-000013010000}"/>
    <cellStyle name="20% - Énfasis2 3 2 2" xfId="376" xr:uid="{00000000-0005-0000-0000-000014010000}"/>
    <cellStyle name="20% - Énfasis2 3 2 2 2" xfId="818" xr:uid="{00000000-0005-0000-0000-000015010000}"/>
    <cellStyle name="20% - Énfasis2 3 2 3" xfId="604" xr:uid="{00000000-0005-0000-0000-000016010000}"/>
    <cellStyle name="20% - Énfasis2 3 3" xfId="276" xr:uid="{00000000-0005-0000-0000-000017010000}"/>
    <cellStyle name="20% - Énfasis2 3 3 2" xfId="718" xr:uid="{00000000-0005-0000-0000-000018010000}"/>
    <cellStyle name="20% - Énfasis2 3 4" xfId="504" xr:uid="{00000000-0005-0000-0000-000019010000}"/>
    <cellStyle name="20% - Énfasis3 2" xfId="34" xr:uid="{00000000-0005-0000-0000-00001A010000}"/>
    <cellStyle name="20% - Énfasis3 2 2" xfId="35" xr:uid="{00000000-0005-0000-0000-00001B010000}"/>
    <cellStyle name="20% - Énfasis3 2 2 2" xfId="136" xr:uid="{00000000-0005-0000-0000-00001C010000}"/>
    <cellStyle name="20% - Énfasis3 2 2 2 2" xfId="378" xr:uid="{00000000-0005-0000-0000-00001D010000}"/>
    <cellStyle name="20% - Énfasis3 2 2 2 2 2" xfId="820" xr:uid="{00000000-0005-0000-0000-00001E010000}"/>
    <cellStyle name="20% - Énfasis3 2 2 2 3" xfId="606" xr:uid="{00000000-0005-0000-0000-00001F010000}"/>
    <cellStyle name="20% - Énfasis3 2 2 3" xfId="278" xr:uid="{00000000-0005-0000-0000-000020010000}"/>
    <cellStyle name="20% - Énfasis3 2 2 3 2" xfId="720" xr:uid="{00000000-0005-0000-0000-000021010000}"/>
    <cellStyle name="20% - Énfasis3 2 2 4" xfId="506" xr:uid="{00000000-0005-0000-0000-000022010000}"/>
    <cellStyle name="20% - Énfasis3 2 3" xfId="135" xr:uid="{00000000-0005-0000-0000-000023010000}"/>
    <cellStyle name="20% - Énfasis3 2 3 2" xfId="377" xr:uid="{00000000-0005-0000-0000-000024010000}"/>
    <cellStyle name="20% - Énfasis3 2 3 2 2" xfId="819" xr:uid="{00000000-0005-0000-0000-000025010000}"/>
    <cellStyle name="20% - Énfasis3 2 3 3" xfId="605" xr:uid="{00000000-0005-0000-0000-000026010000}"/>
    <cellStyle name="20% - Énfasis3 2 4" xfId="277" xr:uid="{00000000-0005-0000-0000-000027010000}"/>
    <cellStyle name="20% - Énfasis3 2 4 2" xfId="719" xr:uid="{00000000-0005-0000-0000-000028010000}"/>
    <cellStyle name="20% - Énfasis3 2 5" xfId="505" xr:uid="{00000000-0005-0000-0000-000029010000}"/>
    <cellStyle name="20% - Énfasis3 3" xfId="36" xr:uid="{00000000-0005-0000-0000-00002A010000}"/>
    <cellStyle name="20% - Énfasis3 3 2" xfId="137" xr:uid="{00000000-0005-0000-0000-00002B010000}"/>
    <cellStyle name="20% - Énfasis3 3 2 2" xfId="379" xr:uid="{00000000-0005-0000-0000-00002C010000}"/>
    <cellStyle name="20% - Énfasis3 3 2 2 2" xfId="821" xr:uid="{00000000-0005-0000-0000-00002D010000}"/>
    <cellStyle name="20% - Énfasis3 3 2 3" xfId="607" xr:uid="{00000000-0005-0000-0000-00002E010000}"/>
    <cellStyle name="20% - Énfasis3 3 3" xfId="279" xr:uid="{00000000-0005-0000-0000-00002F010000}"/>
    <cellStyle name="20% - Énfasis3 3 3 2" xfId="721" xr:uid="{00000000-0005-0000-0000-000030010000}"/>
    <cellStyle name="20% - Énfasis3 3 4" xfId="507" xr:uid="{00000000-0005-0000-0000-000031010000}"/>
    <cellStyle name="20% - Énfasis4 2" xfId="37" xr:uid="{00000000-0005-0000-0000-000032010000}"/>
    <cellStyle name="20% - Énfasis4 2 2" xfId="38" xr:uid="{00000000-0005-0000-0000-000033010000}"/>
    <cellStyle name="20% - Énfasis4 2 2 2" xfId="139" xr:uid="{00000000-0005-0000-0000-000034010000}"/>
    <cellStyle name="20% - Énfasis4 2 2 2 2" xfId="381" xr:uid="{00000000-0005-0000-0000-000035010000}"/>
    <cellStyle name="20% - Énfasis4 2 2 2 2 2" xfId="823" xr:uid="{00000000-0005-0000-0000-000036010000}"/>
    <cellStyle name="20% - Énfasis4 2 2 2 3" xfId="609" xr:uid="{00000000-0005-0000-0000-000037010000}"/>
    <cellStyle name="20% - Énfasis4 2 2 3" xfId="281" xr:uid="{00000000-0005-0000-0000-000038010000}"/>
    <cellStyle name="20% - Énfasis4 2 2 3 2" xfId="723" xr:uid="{00000000-0005-0000-0000-000039010000}"/>
    <cellStyle name="20% - Énfasis4 2 2 4" xfId="509" xr:uid="{00000000-0005-0000-0000-00003A010000}"/>
    <cellStyle name="20% - Énfasis4 2 3" xfId="138" xr:uid="{00000000-0005-0000-0000-00003B010000}"/>
    <cellStyle name="20% - Énfasis4 2 3 2" xfId="380" xr:uid="{00000000-0005-0000-0000-00003C010000}"/>
    <cellStyle name="20% - Énfasis4 2 3 2 2" xfId="822" xr:uid="{00000000-0005-0000-0000-00003D010000}"/>
    <cellStyle name="20% - Énfasis4 2 3 3" xfId="608" xr:uid="{00000000-0005-0000-0000-00003E010000}"/>
    <cellStyle name="20% - Énfasis4 2 4" xfId="280" xr:uid="{00000000-0005-0000-0000-00003F010000}"/>
    <cellStyle name="20% - Énfasis4 2 4 2" xfId="722" xr:uid="{00000000-0005-0000-0000-000040010000}"/>
    <cellStyle name="20% - Énfasis4 2 5" xfId="508" xr:uid="{00000000-0005-0000-0000-000041010000}"/>
    <cellStyle name="20% - Énfasis4 3" xfId="39" xr:uid="{00000000-0005-0000-0000-000042010000}"/>
    <cellStyle name="20% - Énfasis4 3 2" xfId="140" xr:uid="{00000000-0005-0000-0000-000043010000}"/>
    <cellStyle name="20% - Énfasis4 3 2 2" xfId="382" xr:uid="{00000000-0005-0000-0000-000044010000}"/>
    <cellStyle name="20% - Énfasis4 3 2 2 2" xfId="824" xr:uid="{00000000-0005-0000-0000-000045010000}"/>
    <cellStyle name="20% - Énfasis4 3 2 3" xfId="610" xr:uid="{00000000-0005-0000-0000-000046010000}"/>
    <cellStyle name="20% - Énfasis4 3 3" xfId="282" xr:uid="{00000000-0005-0000-0000-000047010000}"/>
    <cellStyle name="20% - Énfasis4 3 3 2" xfId="724" xr:uid="{00000000-0005-0000-0000-000048010000}"/>
    <cellStyle name="20% - Énfasis4 3 4" xfId="510" xr:uid="{00000000-0005-0000-0000-000049010000}"/>
    <cellStyle name="20% - Énfasis5 2" xfId="40" xr:uid="{00000000-0005-0000-0000-00004A010000}"/>
    <cellStyle name="20% - Énfasis5 2 2" xfId="41" xr:uid="{00000000-0005-0000-0000-00004B010000}"/>
    <cellStyle name="20% - Énfasis5 2 2 2" xfId="142" xr:uid="{00000000-0005-0000-0000-00004C010000}"/>
    <cellStyle name="20% - Énfasis5 2 2 2 2" xfId="384" xr:uid="{00000000-0005-0000-0000-00004D010000}"/>
    <cellStyle name="20% - Énfasis5 2 2 2 2 2" xfId="826" xr:uid="{00000000-0005-0000-0000-00004E010000}"/>
    <cellStyle name="20% - Énfasis5 2 2 2 3" xfId="612" xr:uid="{00000000-0005-0000-0000-00004F010000}"/>
    <cellStyle name="20% - Énfasis5 2 2 3" xfId="284" xr:uid="{00000000-0005-0000-0000-000050010000}"/>
    <cellStyle name="20% - Énfasis5 2 2 3 2" xfId="726" xr:uid="{00000000-0005-0000-0000-000051010000}"/>
    <cellStyle name="20% - Énfasis5 2 2 4" xfId="512" xr:uid="{00000000-0005-0000-0000-000052010000}"/>
    <cellStyle name="20% - Énfasis5 2 3" xfId="141" xr:uid="{00000000-0005-0000-0000-000053010000}"/>
    <cellStyle name="20% - Énfasis5 2 3 2" xfId="383" xr:uid="{00000000-0005-0000-0000-000054010000}"/>
    <cellStyle name="20% - Énfasis5 2 3 2 2" xfId="825" xr:uid="{00000000-0005-0000-0000-000055010000}"/>
    <cellStyle name="20% - Énfasis5 2 3 3" xfId="611" xr:uid="{00000000-0005-0000-0000-000056010000}"/>
    <cellStyle name="20% - Énfasis5 2 4" xfId="283" xr:uid="{00000000-0005-0000-0000-000057010000}"/>
    <cellStyle name="20% - Énfasis5 2 4 2" xfId="725" xr:uid="{00000000-0005-0000-0000-000058010000}"/>
    <cellStyle name="20% - Énfasis5 2 5" xfId="511" xr:uid="{00000000-0005-0000-0000-000059010000}"/>
    <cellStyle name="20% - Énfasis5 3" xfId="42" xr:uid="{00000000-0005-0000-0000-00005A010000}"/>
    <cellStyle name="20% - Énfasis5 3 2" xfId="143" xr:uid="{00000000-0005-0000-0000-00005B010000}"/>
    <cellStyle name="20% - Énfasis5 3 2 2" xfId="385" xr:uid="{00000000-0005-0000-0000-00005C010000}"/>
    <cellStyle name="20% - Énfasis5 3 2 2 2" xfId="827" xr:uid="{00000000-0005-0000-0000-00005D010000}"/>
    <cellStyle name="20% - Énfasis5 3 2 3" xfId="613" xr:uid="{00000000-0005-0000-0000-00005E010000}"/>
    <cellStyle name="20% - Énfasis5 3 3" xfId="285" xr:uid="{00000000-0005-0000-0000-00005F010000}"/>
    <cellStyle name="20% - Énfasis5 3 3 2" xfId="727" xr:uid="{00000000-0005-0000-0000-000060010000}"/>
    <cellStyle name="20% - Énfasis5 3 4" xfId="513" xr:uid="{00000000-0005-0000-0000-000061010000}"/>
    <cellStyle name="20% - Énfasis6 2" xfId="43" xr:uid="{00000000-0005-0000-0000-000062010000}"/>
    <cellStyle name="20% - Énfasis6 2 2" xfId="44" xr:uid="{00000000-0005-0000-0000-000063010000}"/>
    <cellStyle name="20% - Énfasis6 2 2 2" xfId="145" xr:uid="{00000000-0005-0000-0000-000064010000}"/>
    <cellStyle name="20% - Énfasis6 2 2 2 2" xfId="387" xr:uid="{00000000-0005-0000-0000-000065010000}"/>
    <cellStyle name="20% - Énfasis6 2 2 2 2 2" xfId="829" xr:uid="{00000000-0005-0000-0000-000066010000}"/>
    <cellStyle name="20% - Énfasis6 2 2 2 3" xfId="615" xr:uid="{00000000-0005-0000-0000-000067010000}"/>
    <cellStyle name="20% - Énfasis6 2 2 3" xfId="287" xr:uid="{00000000-0005-0000-0000-000068010000}"/>
    <cellStyle name="20% - Énfasis6 2 2 3 2" xfId="729" xr:uid="{00000000-0005-0000-0000-000069010000}"/>
    <cellStyle name="20% - Énfasis6 2 2 4" xfId="515" xr:uid="{00000000-0005-0000-0000-00006A010000}"/>
    <cellStyle name="20% - Énfasis6 2 3" xfId="144" xr:uid="{00000000-0005-0000-0000-00006B010000}"/>
    <cellStyle name="20% - Énfasis6 2 3 2" xfId="386" xr:uid="{00000000-0005-0000-0000-00006C010000}"/>
    <cellStyle name="20% - Énfasis6 2 3 2 2" xfId="828" xr:uid="{00000000-0005-0000-0000-00006D010000}"/>
    <cellStyle name="20% - Énfasis6 2 3 3" xfId="614" xr:uid="{00000000-0005-0000-0000-00006E010000}"/>
    <cellStyle name="20% - Énfasis6 2 4" xfId="286" xr:uid="{00000000-0005-0000-0000-00006F010000}"/>
    <cellStyle name="20% - Énfasis6 2 4 2" xfId="728" xr:uid="{00000000-0005-0000-0000-000070010000}"/>
    <cellStyle name="20% - Énfasis6 2 5" xfId="514" xr:uid="{00000000-0005-0000-0000-000071010000}"/>
    <cellStyle name="20% - Énfasis6 3" xfId="45" xr:uid="{00000000-0005-0000-0000-000072010000}"/>
    <cellStyle name="20% - Énfasis6 3 2" xfId="146" xr:uid="{00000000-0005-0000-0000-000073010000}"/>
    <cellStyle name="20% - Énfasis6 3 2 2" xfId="388" xr:uid="{00000000-0005-0000-0000-000074010000}"/>
    <cellStyle name="20% - Énfasis6 3 2 2 2" xfId="830" xr:uid="{00000000-0005-0000-0000-000075010000}"/>
    <cellStyle name="20% - Énfasis6 3 2 3" xfId="616" xr:uid="{00000000-0005-0000-0000-000076010000}"/>
    <cellStyle name="20% - Énfasis6 3 3" xfId="288" xr:uid="{00000000-0005-0000-0000-000077010000}"/>
    <cellStyle name="20% - Énfasis6 3 3 2" xfId="730" xr:uid="{00000000-0005-0000-0000-000078010000}"/>
    <cellStyle name="20% - Énfasis6 3 4" xfId="516" xr:uid="{00000000-0005-0000-0000-000079010000}"/>
    <cellStyle name="40 % - Akzent1 2" xfId="920" xr:uid="{00000000-0005-0000-0000-00007B010000}"/>
    <cellStyle name="40 % - Akzent2 2" xfId="922" xr:uid="{00000000-0005-0000-0000-00007D010000}"/>
    <cellStyle name="40 % - Akzent3 2" xfId="924" xr:uid="{00000000-0005-0000-0000-00007F010000}"/>
    <cellStyle name="40 % - Akzent4 2" xfId="926" xr:uid="{00000000-0005-0000-0000-000081010000}"/>
    <cellStyle name="40 % - Akzent5 2" xfId="928" xr:uid="{00000000-0005-0000-0000-000083010000}"/>
    <cellStyle name="40 % - Akzent6 2" xfId="930" xr:uid="{00000000-0005-0000-0000-000085010000}"/>
    <cellStyle name="40% - Accent1" xfId="223" builtinId="31" customBuiltin="1"/>
    <cellStyle name="40% - Accent1 2" xfId="46" xr:uid="{00000000-0005-0000-0000-000086010000}"/>
    <cellStyle name="40% - Accent1 2 2" xfId="47" xr:uid="{00000000-0005-0000-0000-000087010000}"/>
    <cellStyle name="40% - Accent1 2 2 2" xfId="48" xr:uid="{00000000-0005-0000-0000-000088010000}"/>
    <cellStyle name="40% - Accent1 2 2 2 2" xfId="149" xr:uid="{00000000-0005-0000-0000-000089010000}"/>
    <cellStyle name="40% - Accent1 2 2 2 2 2" xfId="391" xr:uid="{00000000-0005-0000-0000-00008A010000}"/>
    <cellStyle name="40% - Accent1 2 2 2 2 2 2" xfId="833" xr:uid="{00000000-0005-0000-0000-00008B010000}"/>
    <cellStyle name="40% - Accent1 2 2 2 2 3" xfId="619" xr:uid="{00000000-0005-0000-0000-00008C010000}"/>
    <cellStyle name="40% - Accent1 2 2 2 3" xfId="291" xr:uid="{00000000-0005-0000-0000-00008D010000}"/>
    <cellStyle name="40% - Accent1 2 2 2 3 2" xfId="733" xr:uid="{00000000-0005-0000-0000-00008E010000}"/>
    <cellStyle name="40% - Accent1 2 2 2 4" xfId="519" xr:uid="{00000000-0005-0000-0000-00008F010000}"/>
    <cellStyle name="40% - Accent1 2 2 3" xfId="148" xr:uid="{00000000-0005-0000-0000-000090010000}"/>
    <cellStyle name="40% - Accent1 2 2 3 2" xfId="390" xr:uid="{00000000-0005-0000-0000-000091010000}"/>
    <cellStyle name="40% - Accent1 2 2 3 2 2" xfId="832" xr:uid="{00000000-0005-0000-0000-000092010000}"/>
    <cellStyle name="40% - Accent1 2 2 3 3" xfId="618" xr:uid="{00000000-0005-0000-0000-000093010000}"/>
    <cellStyle name="40% - Accent1 2 2 4" xfId="290" xr:uid="{00000000-0005-0000-0000-000094010000}"/>
    <cellStyle name="40% - Accent1 2 2 4 2" xfId="732" xr:uid="{00000000-0005-0000-0000-000095010000}"/>
    <cellStyle name="40% - Accent1 2 2 5" xfId="518" xr:uid="{00000000-0005-0000-0000-000096010000}"/>
    <cellStyle name="40% - Accent1 2 3" xfId="49" xr:uid="{00000000-0005-0000-0000-000097010000}"/>
    <cellStyle name="40% - Accent1 2 3 2" xfId="150" xr:uid="{00000000-0005-0000-0000-000098010000}"/>
    <cellStyle name="40% - Accent1 2 3 2 2" xfId="392" xr:uid="{00000000-0005-0000-0000-000099010000}"/>
    <cellStyle name="40% - Accent1 2 3 2 2 2" xfId="834" xr:uid="{00000000-0005-0000-0000-00009A010000}"/>
    <cellStyle name="40% - Accent1 2 3 2 3" xfId="620" xr:uid="{00000000-0005-0000-0000-00009B010000}"/>
    <cellStyle name="40% - Accent1 2 3 3" xfId="292" xr:uid="{00000000-0005-0000-0000-00009C010000}"/>
    <cellStyle name="40% - Accent1 2 3 3 2" xfId="734" xr:uid="{00000000-0005-0000-0000-00009D010000}"/>
    <cellStyle name="40% - Accent1 2 3 4" xfId="520" xr:uid="{00000000-0005-0000-0000-00009E010000}"/>
    <cellStyle name="40% - Accent1 2 4" xfId="147" xr:uid="{00000000-0005-0000-0000-00009F010000}"/>
    <cellStyle name="40% - Accent1 2 4 2" xfId="389" xr:uid="{00000000-0005-0000-0000-0000A0010000}"/>
    <cellStyle name="40% - Accent1 2 4 2 2" xfId="831" xr:uid="{00000000-0005-0000-0000-0000A1010000}"/>
    <cellStyle name="40% - Accent1 2 4 3" xfId="617" xr:uid="{00000000-0005-0000-0000-0000A2010000}"/>
    <cellStyle name="40% - Accent1 2 5" xfId="289" xr:uid="{00000000-0005-0000-0000-0000A3010000}"/>
    <cellStyle name="40% - Accent1 2 5 2" xfId="731" xr:uid="{00000000-0005-0000-0000-0000A4010000}"/>
    <cellStyle name="40% - Accent1 2 6" xfId="517" xr:uid="{00000000-0005-0000-0000-0000A5010000}"/>
    <cellStyle name="40% - Accent1 3" xfId="462" xr:uid="{00000000-0005-0000-0000-0000A6010000}"/>
    <cellStyle name="40% - Accent1 3 2" xfId="904" xr:uid="{00000000-0005-0000-0000-0000A7010000}"/>
    <cellStyle name="40% - Accent1 4" xfId="448" xr:uid="{00000000-0005-0000-0000-0000A8010000}"/>
    <cellStyle name="40% - Accent1 4 2" xfId="890" xr:uid="{00000000-0005-0000-0000-0000A9010000}"/>
    <cellStyle name="40% - Accent1 5" xfId="676" xr:uid="{00000000-0005-0000-0000-0000AA010000}"/>
    <cellStyle name="40% - Accent2" xfId="227" builtinId="35" customBuiltin="1"/>
    <cellStyle name="40% - Accent2 2" xfId="50" xr:uid="{00000000-0005-0000-0000-0000AB010000}"/>
    <cellStyle name="40% - Accent2 2 2" xfId="51" xr:uid="{00000000-0005-0000-0000-0000AC010000}"/>
    <cellStyle name="40% - Accent2 2 2 2" xfId="52" xr:uid="{00000000-0005-0000-0000-0000AD010000}"/>
    <cellStyle name="40% - Accent2 2 2 2 2" xfId="153" xr:uid="{00000000-0005-0000-0000-0000AE010000}"/>
    <cellStyle name="40% - Accent2 2 2 2 2 2" xfId="395" xr:uid="{00000000-0005-0000-0000-0000AF010000}"/>
    <cellStyle name="40% - Accent2 2 2 2 2 2 2" xfId="837" xr:uid="{00000000-0005-0000-0000-0000B0010000}"/>
    <cellStyle name="40% - Accent2 2 2 2 2 3" xfId="623" xr:uid="{00000000-0005-0000-0000-0000B1010000}"/>
    <cellStyle name="40% - Accent2 2 2 2 3" xfId="295" xr:uid="{00000000-0005-0000-0000-0000B2010000}"/>
    <cellStyle name="40% - Accent2 2 2 2 3 2" xfId="737" xr:uid="{00000000-0005-0000-0000-0000B3010000}"/>
    <cellStyle name="40% - Accent2 2 2 2 4" xfId="523" xr:uid="{00000000-0005-0000-0000-0000B4010000}"/>
    <cellStyle name="40% - Accent2 2 2 3" xfId="152" xr:uid="{00000000-0005-0000-0000-0000B5010000}"/>
    <cellStyle name="40% - Accent2 2 2 3 2" xfId="394" xr:uid="{00000000-0005-0000-0000-0000B6010000}"/>
    <cellStyle name="40% - Accent2 2 2 3 2 2" xfId="836" xr:uid="{00000000-0005-0000-0000-0000B7010000}"/>
    <cellStyle name="40% - Accent2 2 2 3 3" xfId="622" xr:uid="{00000000-0005-0000-0000-0000B8010000}"/>
    <cellStyle name="40% - Accent2 2 2 4" xfId="294" xr:uid="{00000000-0005-0000-0000-0000B9010000}"/>
    <cellStyle name="40% - Accent2 2 2 4 2" xfId="736" xr:uid="{00000000-0005-0000-0000-0000BA010000}"/>
    <cellStyle name="40% - Accent2 2 2 5" xfId="522" xr:uid="{00000000-0005-0000-0000-0000BB010000}"/>
    <cellStyle name="40% - Accent2 2 3" xfId="53" xr:uid="{00000000-0005-0000-0000-0000BC010000}"/>
    <cellStyle name="40% - Accent2 2 3 2" xfId="154" xr:uid="{00000000-0005-0000-0000-0000BD010000}"/>
    <cellStyle name="40% - Accent2 2 3 2 2" xfId="396" xr:uid="{00000000-0005-0000-0000-0000BE010000}"/>
    <cellStyle name="40% - Accent2 2 3 2 2 2" xfId="838" xr:uid="{00000000-0005-0000-0000-0000BF010000}"/>
    <cellStyle name="40% - Accent2 2 3 2 3" xfId="624" xr:uid="{00000000-0005-0000-0000-0000C0010000}"/>
    <cellStyle name="40% - Accent2 2 3 3" xfId="296" xr:uid="{00000000-0005-0000-0000-0000C1010000}"/>
    <cellStyle name="40% - Accent2 2 3 3 2" xfId="738" xr:uid="{00000000-0005-0000-0000-0000C2010000}"/>
    <cellStyle name="40% - Accent2 2 3 4" xfId="524" xr:uid="{00000000-0005-0000-0000-0000C3010000}"/>
    <cellStyle name="40% - Accent2 2 4" xfId="151" xr:uid="{00000000-0005-0000-0000-0000C4010000}"/>
    <cellStyle name="40% - Accent2 2 4 2" xfId="393" xr:uid="{00000000-0005-0000-0000-0000C5010000}"/>
    <cellStyle name="40% - Accent2 2 4 2 2" xfId="835" xr:uid="{00000000-0005-0000-0000-0000C6010000}"/>
    <cellStyle name="40% - Accent2 2 4 3" xfId="621" xr:uid="{00000000-0005-0000-0000-0000C7010000}"/>
    <cellStyle name="40% - Accent2 2 5" xfId="293" xr:uid="{00000000-0005-0000-0000-0000C8010000}"/>
    <cellStyle name="40% - Accent2 2 5 2" xfId="735" xr:uid="{00000000-0005-0000-0000-0000C9010000}"/>
    <cellStyle name="40% - Accent2 2 6" xfId="521" xr:uid="{00000000-0005-0000-0000-0000CA010000}"/>
    <cellStyle name="40% - Accent2 3" xfId="464" xr:uid="{00000000-0005-0000-0000-0000CB010000}"/>
    <cellStyle name="40% - Accent2 3 2" xfId="906" xr:uid="{00000000-0005-0000-0000-0000CC010000}"/>
    <cellStyle name="40% - Accent2 4" xfId="450" xr:uid="{00000000-0005-0000-0000-0000CD010000}"/>
    <cellStyle name="40% - Accent2 4 2" xfId="892" xr:uid="{00000000-0005-0000-0000-0000CE010000}"/>
    <cellStyle name="40% - Accent2 5" xfId="678" xr:uid="{00000000-0005-0000-0000-0000CF010000}"/>
    <cellStyle name="40% - Accent3" xfId="231" builtinId="39" customBuiltin="1"/>
    <cellStyle name="40% - Accent3 2" xfId="54" xr:uid="{00000000-0005-0000-0000-0000D0010000}"/>
    <cellStyle name="40% - Accent3 2 2" xfId="55" xr:uid="{00000000-0005-0000-0000-0000D1010000}"/>
    <cellStyle name="40% - Accent3 2 2 2" xfId="56" xr:uid="{00000000-0005-0000-0000-0000D2010000}"/>
    <cellStyle name="40% - Accent3 2 2 2 2" xfId="157" xr:uid="{00000000-0005-0000-0000-0000D3010000}"/>
    <cellStyle name="40% - Accent3 2 2 2 2 2" xfId="399" xr:uid="{00000000-0005-0000-0000-0000D4010000}"/>
    <cellStyle name="40% - Accent3 2 2 2 2 2 2" xfId="841" xr:uid="{00000000-0005-0000-0000-0000D5010000}"/>
    <cellStyle name="40% - Accent3 2 2 2 2 3" xfId="627" xr:uid="{00000000-0005-0000-0000-0000D6010000}"/>
    <cellStyle name="40% - Accent3 2 2 2 3" xfId="299" xr:uid="{00000000-0005-0000-0000-0000D7010000}"/>
    <cellStyle name="40% - Accent3 2 2 2 3 2" xfId="741" xr:uid="{00000000-0005-0000-0000-0000D8010000}"/>
    <cellStyle name="40% - Accent3 2 2 2 4" xfId="527" xr:uid="{00000000-0005-0000-0000-0000D9010000}"/>
    <cellStyle name="40% - Accent3 2 2 3" xfId="156" xr:uid="{00000000-0005-0000-0000-0000DA010000}"/>
    <cellStyle name="40% - Accent3 2 2 3 2" xfId="398" xr:uid="{00000000-0005-0000-0000-0000DB010000}"/>
    <cellStyle name="40% - Accent3 2 2 3 2 2" xfId="840" xr:uid="{00000000-0005-0000-0000-0000DC010000}"/>
    <cellStyle name="40% - Accent3 2 2 3 3" xfId="626" xr:uid="{00000000-0005-0000-0000-0000DD010000}"/>
    <cellStyle name="40% - Accent3 2 2 4" xfId="298" xr:uid="{00000000-0005-0000-0000-0000DE010000}"/>
    <cellStyle name="40% - Accent3 2 2 4 2" xfId="740" xr:uid="{00000000-0005-0000-0000-0000DF010000}"/>
    <cellStyle name="40% - Accent3 2 2 5" xfId="526" xr:uid="{00000000-0005-0000-0000-0000E0010000}"/>
    <cellStyle name="40% - Accent3 2 3" xfId="57" xr:uid="{00000000-0005-0000-0000-0000E1010000}"/>
    <cellStyle name="40% - Accent3 2 3 2" xfId="158" xr:uid="{00000000-0005-0000-0000-0000E2010000}"/>
    <cellStyle name="40% - Accent3 2 3 2 2" xfId="400" xr:uid="{00000000-0005-0000-0000-0000E3010000}"/>
    <cellStyle name="40% - Accent3 2 3 2 2 2" xfId="842" xr:uid="{00000000-0005-0000-0000-0000E4010000}"/>
    <cellStyle name="40% - Accent3 2 3 2 3" xfId="628" xr:uid="{00000000-0005-0000-0000-0000E5010000}"/>
    <cellStyle name="40% - Accent3 2 3 3" xfId="300" xr:uid="{00000000-0005-0000-0000-0000E6010000}"/>
    <cellStyle name="40% - Accent3 2 3 3 2" xfId="742" xr:uid="{00000000-0005-0000-0000-0000E7010000}"/>
    <cellStyle name="40% - Accent3 2 3 4" xfId="528" xr:uid="{00000000-0005-0000-0000-0000E8010000}"/>
    <cellStyle name="40% - Accent3 2 4" xfId="155" xr:uid="{00000000-0005-0000-0000-0000E9010000}"/>
    <cellStyle name="40% - Accent3 2 4 2" xfId="397" xr:uid="{00000000-0005-0000-0000-0000EA010000}"/>
    <cellStyle name="40% - Accent3 2 4 2 2" xfId="839" xr:uid="{00000000-0005-0000-0000-0000EB010000}"/>
    <cellStyle name="40% - Accent3 2 4 3" xfId="625" xr:uid="{00000000-0005-0000-0000-0000EC010000}"/>
    <cellStyle name="40% - Accent3 2 5" xfId="297" xr:uid="{00000000-0005-0000-0000-0000ED010000}"/>
    <cellStyle name="40% - Accent3 2 5 2" xfId="739" xr:uid="{00000000-0005-0000-0000-0000EE010000}"/>
    <cellStyle name="40% - Accent3 2 6" xfId="525" xr:uid="{00000000-0005-0000-0000-0000EF010000}"/>
    <cellStyle name="40% - Accent3 3" xfId="466" xr:uid="{00000000-0005-0000-0000-0000F0010000}"/>
    <cellStyle name="40% - Accent3 3 2" xfId="908" xr:uid="{00000000-0005-0000-0000-0000F1010000}"/>
    <cellStyle name="40% - Accent3 4" xfId="452" xr:uid="{00000000-0005-0000-0000-0000F2010000}"/>
    <cellStyle name="40% - Accent3 4 2" xfId="894" xr:uid="{00000000-0005-0000-0000-0000F3010000}"/>
    <cellStyle name="40% - Accent3 5" xfId="680" xr:uid="{00000000-0005-0000-0000-0000F4010000}"/>
    <cellStyle name="40% - Accent4" xfId="235" builtinId="43" customBuiltin="1"/>
    <cellStyle name="40% - Accent4 2" xfId="58" xr:uid="{00000000-0005-0000-0000-0000F5010000}"/>
    <cellStyle name="40% - Accent4 2 2" xfId="59" xr:uid="{00000000-0005-0000-0000-0000F6010000}"/>
    <cellStyle name="40% - Accent4 2 2 2" xfId="60" xr:uid="{00000000-0005-0000-0000-0000F7010000}"/>
    <cellStyle name="40% - Accent4 2 2 2 2" xfId="161" xr:uid="{00000000-0005-0000-0000-0000F8010000}"/>
    <cellStyle name="40% - Accent4 2 2 2 2 2" xfId="403" xr:uid="{00000000-0005-0000-0000-0000F9010000}"/>
    <cellStyle name="40% - Accent4 2 2 2 2 2 2" xfId="845" xr:uid="{00000000-0005-0000-0000-0000FA010000}"/>
    <cellStyle name="40% - Accent4 2 2 2 2 3" xfId="631" xr:uid="{00000000-0005-0000-0000-0000FB010000}"/>
    <cellStyle name="40% - Accent4 2 2 2 3" xfId="303" xr:uid="{00000000-0005-0000-0000-0000FC010000}"/>
    <cellStyle name="40% - Accent4 2 2 2 3 2" xfId="745" xr:uid="{00000000-0005-0000-0000-0000FD010000}"/>
    <cellStyle name="40% - Accent4 2 2 2 4" xfId="531" xr:uid="{00000000-0005-0000-0000-0000FE010000}"/>
    <cellStyle name="40% - Accent4 2 2 3" xfId="160" xr:uid="{00000000-0005-0000-0000-0000FF010000}"/>
    <cellStyle name="40% - Accent4 2 2 3 2" xfId="402" xr:uid="{00000000-0005-0000-0000-000000020000}"/>
    <cellStyle name="40% - Accent4 2 2 3 2 2" xfId="844" xr:uid="{00000000-0005-0000-0000-000001020000}"/>
    <cellStyle name="40% - Accent4 2 2 3 3" xfId="630" xr:uid="{00000000-0005-0000-0000-000002020000}"/>
    <cellStyle name="40% - Accent4 2 2 4" xfId="302" xr:uid="{00000000-0005-0000-0000-000003020000}"/>
    <cellStyle name="40% - Accent4 2 2 4 2" xfId="744" xr:uid="{00000000-0005-0000-0000-000004020000}"/>
    <cellStyle name="40% - Accent4 2 2 5" xfId="530" xr:uid="{00000000-0005-0000-0000-000005020000}"/>
    <cellStyle name="40% - Accent4 2 3" xfId="61" xr:uid="{00000000-0005-0000-0000-000006020000}"/>
    <cellStyle name="40% - Accent4 2 3 2" xfId="162" xr:uid="{00000000-0005-0000-0000-000007020000}"/>
    <cellStyle name="40% - Accent4 2 3 2 2" xfId="404" xr:uid="{00000000-0005-0000-0000-000008020000}"/>
    <cellStyle name="40% - Accent4 2 3 2 2 2" xfId="846" xr:uid="{00000000-0005-0000-0000-000009020000}"/>
    <cellStyle name="40% - Accent4 2 3 2 3" xfId="632" xr:uid="{00000000-0005-0000-0000-00000A020000}"/>
    <cellStyle name="40% - Accent4 2 3 3" xfId="304" xr:uid="{00000000-0005-0000-0000-00000B020000}"/>
    <cellStyle name="40% - Accent4 2 3 3 2" xfId="746" xr:uid="{00000000-0005-0000-0000-00000C020000}"/>
    <cellStyle name="40% - Accent4 2 3 4" xfId="532" xr:uid="{00000000-0005-0000-0000-00000D020000}"/>
    <cellStyle name="40% - Accent4 2 4" xfId="159" xr:uid="{00000000-0005-0000-0000-00000E020000}"/>
    <cellStyle name="40% - Accent4 2 4 2" xfId="401" xr:uid="{00000000-0005-0000-0000-00000F020000}"/>
    <cellStyle name="40% - Accent4 2 4 2 2" xfId="843" xr:uid="{00000000-0005-0000-0000-000010020000}"/>
    <cellStyle name="40% - Accent4 2 4 3" xfId="629" xr:uid="{00000000-0005-0000-0000-000011020000}"/>
    <cellStyle name="40% - Accent4 2 5" xfId="301" xr:uid="{00000000-0005-0000-0000-000012020000}"/>
    <cellStyle name="40% - Accent4 2 5 2" xfId="743" xr:uid="{00000000-0005-0000-0000-000013020000}"/>
    <cellStyle name="40% - Accent4 2 6" xfId="529" xr:uid="{00000000-0005-0000-0000-000014020000}"/>
    <cellStyle name="40% - Accent4 3" xfId="468" xr:uid="{00000000-0005-0000-0000-000015020000}"/>
    <cellStyle name="40% - Accent4 3 2" xfId="910" xr:uid="{00000000-0005-0000-0000-000016020000}"/>
    <cellStyle name="40% - Accent4 4" xfId="454" xr:uid="{00000000-0005-0000-0000-000017020000}"/>
    <cellStyle name="40% - Accent4 4 2" xfId="896" xr:uid="{00000000-0005-0000-0000-000018020000}"/>
    <cellStyle name="40% - Accent4 5" xfId="682" xr:uid="{00000000-0005-0000-0000-000019020000}"/>
    <cellStyle name="40% - Accent5" xfId="239" builtinId="47" customBuiltin="1"/>
    <cellStyle name="40% - Accent5 2" xfId="62" xr:uid="{00000000-0005-0000-0000-00001A020000}"/>
    <cellStyle name="40% - Accent5 2 2" xfId="63" xr:uid="{00000000-0005-0000-0000-00001B020000}"/>
    <cellStyle name="40% - Accent5 2 2 2" xfId="64" xr:uid="{00000000-0005-0000-0000-00001C020000}"/>
    <cellStyle name="40% - Accent5 2 2 2 2" xfId="165" xr:uid="{00000000-0005-0000-0000-00001D020000}"/>
    <cellStyle name="40% - Accent5 2 2 2 2 2" xfId="407" xr:uid="{00000000-0005-0000-0000-00001E020000}"/>
    <cellStyle name="40% - Accent5 2 2 2 2 2 2" xfId="849" xr:uid="{00000000-0005-0000-0000-00001F020000}"/>
    <cellStyle name="40% - Accent5 2 2 2 2 3" xfId="635" xr:uid="{00000000-0005-0000-0000-000020020000}"/>
    <cellStyle name="40% - Accent5 2 2 2 3" xfId="307" xr:uid="{00000000-0005-0000-0000-000021020000}"/>
    <cellStyle name="40% - Accent5 2 2 2 3 2" xfId="749" xr:uid="{00000000-0005-0000-0000-000022020000}"/>
    <cellStyle name="40% - Accent5 2 2 2 4" xfId="535" xr:uid="{00000000-0005-0000-0000-000023020000}"/>
    <cellStyle name="40% - Accent5 2 2 3" xfId="164" xr:uid="{00000000-0005-0000-0000-000024020000}"/>
    <cellStyle name="40% - Accent5 2 2 3 2" xfId="406" xr:uid="{00000000-0005-0000-0000-000025020000}"/>
    <cellStyle name="40% - Accent5 2 2 3 2 2" xfId="848" xr:uid="{00000000-0005-0000-0000-000026020000}"/>
    <cellStyle name="40% - Accent5 2 2 3 3" xfId="634" xr:uid="{00000000-0005-0000-0000-000027020000}"/>
    <cellStyle name="40% - Accent5 2 2 4" xfId="306" xr:uid="{00000000-0005-0000-0000-000028020000}"/>
    <cellStyle name="40% - Accent5 2 2 4 2" xfId="748" xr:uid="{00000000-0005-0000-0000-000029020000}"/>
    <cellStyle name="40% - Accent5 2 2 5" xfId="534" xr:uid="{00000000-0005-0000-0000-00002A020000}"/>
    <cellStyle name="40% - Accent5 2 3" xfId="65" xr:uid="{00000000-0005-0000-0000-00002B020000}"/>
    <cellStyle name="40% - Accent5 2 3 2" xfId="166" xr:uid="{00000000-0005-0000-0000-00002C020000}"/>
    <cellStyle name="40% - Accent5 2 3 2 2" xfId="408" xr:uid="{00000000-0005-0000-0000-00002D020000}"/>
    <cellStyle name="40% - Accent5 2 3 2 2 2" xfId="850" xr:uid="{00000000-0005-0000-0000-00002E020000}"/>
    <cellStyle name="40% - Accent5 2 3 2 3" xfId="636" xr:uid="{00000000-0005-0000-0000-00002F020000}"/>
    <cellStyle name="40% - Accent5 2 3 3" xfId="308" xr:uid="{00000000-0005-0000-0000-000030020000}"/>
    <cellStyle name="40% - Accent5 2 3 3 2" xfId="750" xr:uid="{00000000-0005-0000-0000-000031020000}"/>
    <cellStyle name="40% - Accent5 2 3 4" xfId="536" xr:uid="{00000000-0005-0000-0000-000032020000}"/>
    <cellStyle name="40% - Accent5 2 4" xfId="163" xr:uid="{00000000-0005-0000-0000-000033020000}"/>
    <cellStyle name="40% - Accent5 2 4 2" xfId="405" xr:uid="{00000000-0005-0000-0000-000034020000}"/>
    <cellStyle name="40% - Accent5 2 4 2 2" xfId="847" xr:uid="{00000000-0005-0000-0000-000035020000}"/>
    <cellStyle name="40% - Accent5 2 4 3" xfId="633" xr:uid="{00000000-0005-0000-0000-000036020000}"/>
    <cellStyle name="40% - Accent5 2 5" xfId="305" xr:uid="{00000000-0005-0000-0000-000037020000}"/>
    <cellStyle name="40% - Accent5 2 5 2" xfId="747" xr:uid="{00000000-0005-0000-0000-000038020000}"/>
    <cellStyle name="40% - Accent5 2 6" xfId="533" xr:uid="{00000000-0005-0000-0000-000039020000}"/>
    <cellStyle name="40% - Accent5 3" xfId="470" xr:uid="{00000000-0005-0000-0000-00003A020000}"/>
    <cellStyle name="40% - Accent5 3 2" xfId="912" xr:uid="{00000000-0005-0000-0000-00003B020000}"/>
    <cellStyle name="40% - Accent5 4" xfId="456" xr:uid="{00000000-0005-0000-0000-00003C020000}"/>
    <cellStyle name="40% - Accent5 4 2" xfId="898" xr:uid="{00000000-0005-0000-0000-00003D020000}"/>
    <cellStyle name="40% - Accent5 5" xfId="684" xr:uid="{00000000-0005-0000-0000-00003E020000}"/>
    <cellStyle name="40% - Accent6" xfId="243" builtinId="51" customBuiltin="1"/>
    <cellStyle name="40% - Accent6 2" xfId="66" xr:uid="{00000000-0005-0000-0000-00003F020000}"/>
    <cellStyle name="40% - Accent6 2 2" xfId="67" xr:uid="{00000000-0005-0000-0000-000040020000}"/>
    <cellStyle name="40% - Accent6 2 2 2" xfId="68" xr:uid="{00000000-0005-0000-0000-000041020000}"/>
    <cellStyle name="40% - Accent6 2 2 2 2" xfId="169" xr:uid="{00000000-0005-0000-0000-000042020000}"/>
    <cellStyle name="40% - Accent6 2 2 2 2 2" xfId="411" xr:uid="{00000000-0005-0000-0000-000043020000}"/>
    <cellStyle name="40% - Accent6 2 2 2 2 2 2" xfId="853" xr:uid="{00000000-0005-0000-0000-000044020000}"/>
    <cellStyle name="40% - Accent6 2 2 2 2 3" xfId="639" xr:uid="{00000000-0005-0000-0000-000045020000}"/>
    <cellStyle name="40% - Accent6 2 2 2 3" xfId="311" xr:uid="{00000000-0005-0000-0000-000046020000}"/>
    <cellStyle name="40% - Accent6 2 2 2 3 2" xfId="753" xr:uid="{00000000-0005-0000-0000-000047020000}"/>
    <cellStyle name="40% - Accent6 2 2 2 4" xfId="539" xr:uid="{00000000-0005-0000-0000-000048020000}"/>
    <cellStyle name="40% - Accent6 2 2 3" xfId="168" xr:uid="{00000000-0005-0000-0000-000049020000}"/>
    <cellStyle name="40% - Accent6 2 2 3 2" xfId="410" xr:uid="{00000000-0005-0000-0000-00004A020000}"/>
    <cellStyle name="40% - Accent6 2 2 3 2 2" xfId="852" xr:uid="{00000000-0005-0000-0000-00004B020000}"/>
    <cellStyle name="40% - Accent6 2 2 3 3" xfId="638" xr:uid="{00000000-0005-0000-0000-00004C020000}"/>
    <cellStyle name="40% - Accent6 2 2 4" xfId="310" xr:uid="{00000000-0005-0000-0000-00004D020000}"/>
    <cellStyle name="40% - Accent6 2 2 4 2" xfId="752" xr:uid="{00000000-0005-0000-0000-00004E020000}"/>
    <cellStyle name="40% - Accent6 2 2 5" xfId="538" xr:uid="{00000000-0005-0000-0000-00004F020000}"/>
    <cellStyle name="40% - Accent6 2 3" xfId="69" xr:uid="{00000000-0005-0000-0000-000050020000}"/>
    <cellStyle name="40% - Accent6 2 3 2" xfId="170" xr:uid="{00000000-0005-0000-0000-000051020000}"/>
    <cellStyle name="40% - Accent6 2 3 2 2" xfId="412" xr:uid="{00000000-0005-0000-0000-000052020000}"/>
    <cellStyle name="40% - Accent6 2 3 2 2 2" xfId="854" xr:uid="{00000000-0005-0000-0000-000053020000}"/>
    <cellStyle name="40% - Accent6 2 3 2 3" xfId="640" xr:uid="{00000000-0005-0000-0000-000054020000}"/>
    <cellStyle name="40% - Accent6 2 3 3" xfId="312" xr:uid="{00000000-0005-0000-0000-000055020000}"/>
    <cellStyle name="40% - Accent6 2 3 3 2" xfId="754" xr:uid="{00000000-0005-0000-0000-000056020000}"/>
    <cellStyle name="40% - Accent6 2 3 4" xfId="540" xr:uid="{00000000-0005-0000-0000-000057020000}"/>
    <cellStyle name="40% - Accent6 2 4" xfId="167" xr:uid="{00000000-0005-0000-0000-000058020000}"/>
    <cellStyle name="40% - Accent6 2 4 2" xfId="409" xr:uid="{00000000-0005-0000-0000-000059020000}"/>
    <cellStyle name="40% - Accent6 2 4 2 2" xfId="851" xr:uid="{00000000-0005-0000-0000-00005A020000}"/>
    <cellStyle name="40% - Accent6 2 4 3" xfId="637" xr:uid="{00000000-0005-0000-0000-00005B020000}"/>
    <cellStyle name="40% - Accent6 2 5" xfId="309" xr:uid="{00000000-0005-0000-0000-00005C020000}"/>
    <cellStyle name="40% - Accent6 2 5 2" xfId="751" xr:uid="{00000000-0005-0000-0000-00005D020000}"/>
    <cellStyle name="40% - Accent6 2 6" xfId="537" xr:uid="{00000000-0005-0000-0000-00005E020000}"/>
    <cellStyle name="40% - Accent6 3" xfId="472" xr:uid="{00000000-0005-0000-0000-00005F020000}"/>
    <cellStyle name="40% - Accent6 3 2" xfId="914" xr:uid="{00000000-0005-0000-0000-000060020000}"/>
    <cellStyle name="40% - Accent6 4" xfId="458" xr:uid="{00000000-0005-0000-0000-000061020000}"/>
    <cellStyle name="40% - Accent6 4 2" xfId="900" xr:uid="{00000000-0005-0000-0000-000062020000}"/>
    <cellStyle name="40% - Accent6 5" xfId="686" xr:uid="{00000000-0005-0000-0000-000063020000}"/>
    <cellStyle name="40% - Énfasis1 2" xfId="70" xr:uid="{00000000-0005-0000-0000-000064020000}"/>
    <cellStyle name="40% - Énfasis1 2 2" xfId="71" xr:uid="{00000000-0005-0000-0000-000065020000}"/>
    <cellStyle name="40% - Énfasis1 2 2 2" xfId="172" xr:uid="{00000000-0005-0000-0000-000066020000}"/>
    <cellStyle name="40% - Énfasis1 2 2 2 2" xfId="414" xr:uid="{00000000-0005-0000-0000-000067020000}"/>
    <cellStyle name="40% - Énfasis1 2 2 2 2 2" xfId="856" xr:uid="{00000000-0005-0000-0000-000068020000}"/>
    <cellStyle name="40% - Énfasis1 2 2 2 3" xfId="642" xr:uid="{00000000-0005-0000-0000-000069020000}"/>
    <cellStyle name="40% - Énfasis1 2 2 3" xfId="314" xr:uid="{00000000-0005-0000-0000-00006A020000}"/>
    <cellStyle name="40% - Énfasis1 2 2 3 2" xfId="756" xr:uid="{00000000-0005-0000-0000-00006B020000}"/>
    <cellStyle name="40% - Énfasis1 2 2 4" xfId="542" xr:uid="{00000000-0005-0000-0000-00006C020000}"/>
    <cellStyle name="40% - Énfasis1 2 3" xfId="171" xr:uid="{00000000-0005-0000-0000-00006D020000}"/>
    <cellStyle name="40% - Énfasis1 2 3 2" xfId="413" xr:uid="{00000000-0005-0000-0000-00006E020000}"/>
    <cellStyle name="40% - Énfasis1 2 3 2 2" xfId="855" xr:uid="{00000000-0005-0000-0000-00006F020000}"/>
    <cellStyle name="40% - Énfasis1 2 3 3" xfId="641" xr:uid="{00000000-0005-0000-0000-000070020000}"/>
    <cellStyle name="40% - Énfasis1 2 4" xfId="313" xr:uid="{00000000-0005-0000-0000-000071020000}"/>
    <cellStyle name="40% - Énfasis1 2 4 2" xfId="755" xr:uid="{00000000-0005-0000-0000-000072020000}"/>
    <cellStyle name="40% - Énfasis1 2 5" xfId="541" xr:uid="{00000000-0005-0000-0000-000073020000}"/>
    <cellStyle name="40% - Énfasis1 3" xfId="72" xr:uid="{00000000-0005-0000-0000-000074020000}"/>
    <cellStyle name="40% - Énfasis1 3 2" xfId="173" xr:uid="{00000000-0005-0000-0000-000075020000}"/>
    <cellStyle name="40% - Énfasis1 3 2 2" xfId="415" xr:uid="{00000000-0005-0000-0000-000076020000}"/>
    <cellStyle name="40% - Énfasis1 3 2 2 2" xfId="857" xr:uid="{00000000-0005-0000-0000-000077020000}"/>
    <cellStyle name="40% - Énfasis1 3 2 3" xfId="643" xr:uid="{00000000-0005-0000-0000-000078020000}"/>
    <cellStyle name="40% - Énfasis1 3 3" xfId="315" xr:uid="{00000000-0005-0000-0000-000079020000}"/>
    <cellStyle name="40% - Énfasis1 3 3 2" xfId="757" xr:uid="{00000000-0005-0000-0000-00007A020000}"/>
    <cellStyle name="40% - Énfasis1 3 4" xfId="543" xr:uid="{00000000-0005-0000-0000-00007B020000}"/>
    <cellStyle name="40% - Énfasis2 2" xfId="73" xr:uid="{00000000-0005-0000-0000-00007C020000}"/>
    <cellStyle name="40% - Énfasis2 2 2" xfId="74" xr:uid="{00000000-0005-0000-0000-00007D020000}"/>
    <cellStyle name="40% - Énfasis2 2 2 2" xfId="175" xr:uid="{00000000-0005-0000-0000-00007E020000}"/>
    <cellStyle name="40% - Énfasis2 2 2 2 2" xfId="417" xr:uid="{00000000-0005-0000-0000-00007F020000}"/>
    <cellStyle name="40% - Énfasis2 2 2 2 2 2" xfId="859" xr:uid="{00000000-0005-0000-0000-000080020000}"/>
    <cellStyle name="40% - Énfasis2 2 2 2 3" xfId="645" xr:uid="{00000000-0005-0000-0000-000081020000}"/>
    <cellStyle name="40% - Énfasis2 2 2 3" xfId="317" xr:uid="{00000000-0005-0000-0000-000082020000}"/>
    <cellStyle name="40% - Énfasis2 2 2 3 2" xfId="759" xr:uid="{00000000-0005-0000-0000-000083020000}"/>
    <cellStyle name="40% - Énfasis2 2 2 4" xfId="545" xr:uid="{00000000-0005-0000-0000-000084020000}"/>
    <cellStyle name="40% - Énfasis2 2 3" xfId="174" xr:uid="{00000000-0005-0000-0000-000085020000}"/>
    <cellStyle name="40% - Énfasis2 2 3 2" xfId="416" xr:uid="{00000000-0005-0000-0000-000086020000}"/>
    <cellStyle name="40% - Énfasis2 2 3 2 2" xfId="858" xr:uid="{00000000-0005-0000-0000-000087020000}"/>
    <cellStyle name="40% - Énfasis2 2 3 3" xfId="644" xr:uid="{00000000-0005-0000-0000-000088020000}"/>
    <cellStyle name="40% - Énfasis2 2 4" xfId="316" xr:uid="{00000000-0005-0000-0000-000089020000}"/>
    <cellStyle name="40% - Énfasis2 2 4 2" xfId="758" xr:uid="{00000000-0005-0000-0000-00008A020000}"/>
    <cellStyle name="40% - Énfasis2 2 5" xfId="544" xr:uid="{00000000-0005-0000-0000-00008B020000}"/>
    <cellStyle name="40% - Énfasis2 3" xfId="75" xr:uid="{00000000-0005-0000-0000-00008C020000}"/>
    <cellStyle name="40% - Énfasis2 3 2" xfId="176" xr:uid="{00000000-0005-0000-0000-00008D020000}"/>
    <cellStyle name="40% - Énfasis2 3 2 2" xfId="418" xr:uid="{00000000-0005-0000-0000-00008E020000}"/>
    <cellStyle name="40% - Énfasis2 3 2 2 2" xfId="860" xr:uid="{00000000-0005-0000-0000-00008F020000}"/>
    <cellStyle name="40% - Énfasis2 3 2 3" xfId="646" xr:uid="{00000000-0005-0000-0000-000090020000}"/>
    <cellStyle name="40% - Énfasis2 3 3" xfId="318" xr:uid="{00000000-0005-0000-0000-000091020000}"/>
    <cellStyle name="40% - Énfasis2 3 3 2" xfId="760" xr:uid="{00000000-0005-0000-0000-000092020000}"/>
    <cellStyle name="40% - Énfasis2 3 4" xfId="546" xr:uid="{00000000-0005-0000-0000-000093020000}"/>
    <cellStyle name="40% - Énfasis3 2" xfId="76" xr:uid="{00000000-0005-0000-0000-000094020000}"/>
    <cellStyle name="40% - Énfasis3 2 2" xfId="77" xr:uid="{00000000-0005-0000-0000-000095020000}"/>
    <cellStyle name="40% - Énfasis3 2 2 2" xfId="178" xr:uid="{00000000-0005-0000-0000-000096020000}"/>
    <cellStyle name="40% - Énfasis3 2 2 2 2" xfId="420" xr:uid="{00000000-0005-0000-0000-000097020000}"/>
    <cellStyle name="40% - Énfasis3 2 2 2 2 2" xfId="862" xr:uid="{00000000-0005-0000-0000-000098020000}"/>
    <cellStyle name="40% - Énfasis3 2 2 2 3" xfId="648" xr:uid="{00000000-0005-0000-0000-000099020000}"/>
    <cellStyle name="40% - Énfasis3 2 2 3" xfId="320" xr:uid="{00000000-0005-0000-0000-00009A020000}"/>
    <cellStyle name="40% - Énfasis3 2 2 3 2" xfId="762" xr:uid="{00000000-0005-0000-0000-00009B020000}"/>
    <cellStyle name="40% - Énfasis3 2 2 4" xfId="548" xr:uid="{00000000-0005-0000-0000-00009C020000}"/>
    <cellStyle name="40% - Énfasis3 2 3" xfId="177" xr:uid="{00000000-0005-0000-0000-00009D020000}"/>
    <cellStyle name="40% - Énfasis3 2 3 2" xfId="419" xr:uid="{00000000-0005-0000-0000-00009E020000}"/>
    <cellStyle name="40% - Énfasis3 2 3 2 2" xfId="861" xr:uid="{00000000-0005-0000-0000-00009F020000}"/>
    <cellStyle name="40% - Énfasis3 2 3 3" xfId="647" xr:uid="{00000000-0005-0000-0000-0000A0020000}"/>
    <cellStyle name="40% - Énfasis3 2 4" xfId="319" xr:uid="{00000000-0005-0000-0000-0000A1020000}"/>
    <cellStyle name="40% - Énfasis3 2 4 2" xfId="761" xr:uid="{00000000-0005-0000-0000-0000A2020000}"/>
    <cellStyle name="40% - Énfasis3 2 5" xfId="547" xr:uid="{00000000-0005-0000-0000-0000A3020000}"/>
    <cellStyle name="40% - Énfasis3 3" xfId="78" xr:uid="{00000000-0005-0000-0000-0000A4020000}"/>
    <cellStyle name="40% - Énfasis3 3 2" xfId="179" xr:uid="{00000000-0005-0000-0000-0000A5020000}"/>
    <cellStyle name="40% - Énfasis3 3 2 2" xfId="421" xr:uid="{00000000-0005-0000-0000-0000A6020000}"/>
    <cellStyle name="40% - Énfasis3 3 2 2 2" xfId="863" xr:uid="{00000000-0005-0000-0000-0000A7020000}"/>
    <cellStyle name="40% - Énfasis3 3 2 3" xfId="649" xr:uid="{00000000-0005-0000-0000-0000A8020000}"/>
    <cellStyle name="40% - Énfasis3 3 3" xfId="321" xr:uid="{00000000-0005-0000-0000-0000A9020000}"/>
    <cellStyle name="40% - Énfasis3 3 3 2" xfId="763" xr:uid="{00000000-0005-0000-0000-0000AA020000}"/>
    <cellStyle name="40% - Énfasis3 3 4" xfId="549" xr:uid="{00000000-0005-0000-0000-0000AB020000}"/>
    <cellStyle name="40% - Énfasis4 2" xfId="79" xr:uid="{00000000-0005-0000-0000-0000AC020000}"/>
    <cellStyle name="40% - Énfasis4 2 2" xfId="80" xr:uid="{00000000-0005-0000-0000-0000AD020000}"/>
    <cellStyle name="40% - Énfasis4 2 2 2" xfId="181" xr:uid="{00000000-0005-0000-0000-0000AE020000}"/>
    <cellStyle name="40% - Énfasis4 2 2 2 2" xfId="423" xr:uid="{00000000-0005-0000-0000-0000AF020000}"/>
    <cellStyle name="40% - Énfasis4 2 2 2 2 2" xfId="865" xr:uid="{00000000-0005-0000-0000-0000B0020000}"/>
    <cellStyle name="40% - Énfasis4 2 2 2 3" xfId="651" xr:uid="{00000000-0005-0000-0000-0000B1020000}"/>
    <cellStyle name="40% - Énfasis4 2 2 3" xfId="323" xr:uid="{00000000-0005-0000-0000-0000B2020000}"/>
    <cellStyle name="40% - Énfasis4 2 2 3 2" xfId="765" xr:uid="{00000000-0005-0000-0000-0000B3020000}"/>
    <cellStyle name="40% - Énfasis4 2 2 4" xfId="551" xr:uid="{00000000-0005-0000-0000-0000B4020000}"/>
    <cellStyle name="40% - Énfasis4 2 3" xfId="180" xr:uid="{00000000-0005-0000-0000-0000B5020000}"/>
    <cellStyle name="40% - Énfasis4 2 3 2" xfId="422" xr:uid="{00000000-0005-0000-0000-0000B6020000}"/>
    <cellStyle name="40% - Énfasis4 2 3 2 2" xfId="864" xr:uid="{00000000-0005-0000-0000-0000B7020000}"/>
    <cellStyle name="40% - Énfasis4 2 3 3" xfId="650" xr:uid="{00000000-0005-0000-0000-0000B8020000}"/>
    <cellStyle name="40% - Énfasis4 2 4" xfId="322" xr:uid="{00000000-0005-0000-0000-0000B9020000}"/>
    <cellStyle name="40% - Énfasis4 2 4 2" xfId="764" xr:uid="{00000000-0005-0000-0000-0000BA020000}"/>
    <cellStyle name="40% - Énfasis4 2 5" xfId="550" xr:uid="{00000000-0005-0000-0000-0000BB020000}"/>
    <cellStyle name="40% - Énfasis4 3" xfId="81" xr:uid="{00000000-0005-0000-0000-0000BC020000}"/>
    <cellStyle name="40% - Énfasis4 3 2" xfId="182" xr:uid="{00000000-0005-0000-0000-0000BD020000}"/>
    <cellStyle name="40% - Énfasis4 3 2 2" xfId="424" xr:uid="{00000000-0005-0000-0000-0000BE020000}"/>
    <cellStyle name="40% - Énfasis4 3 2 2 2" xfId="866" xr:uid="{00000000-0005-0000-0000-0000BF020000}"/>
    <cellStyle name="40% - Énfasis4 3 2 3" xfId="652" xr:uid="{00000000-0005-0000-0000-0000C0020000}"/>
    <cellStyle name="40% - Énfasis4 3 3" xfId="324" xr:uid="{00000000-0005-0000-0000-0000C1020000}"/>
    <cellStyle name="40% - Énfasis4 3 3 2" xfId="766" xr:uid="{00000000-0005-0000-0000-0000C2020000}"/>
    <cellStyle name="40% - Énfasis4 3 4" xfId="552" xr:uid="{00000000-0005-0000-0000-0000C3020000}"/>
    <cellStyle name="40% - Énfasis5 2" xfId="82" xr:uid="{00000000-0005-0000-0000-0000C4020000}"/>
    <cellStyle name="40% - Énfasis5 2 2" xfId="83" xr:uid="{00000000-0005-0000-0000-0000C5020000}"/>
    <cellStyle name="40% - Énfasis5 2 2 2" xfId="184" xr:uid="{00000000-0005-0000-0000-0000C6020000}"/>
    <cellStyle name="40% - Énfasis5 2 2 2 2" xfId="426" xr:uid="{00000000-0005-0000-0000-0000C7020000}"/>
    <cellStyle name="40% - Énfasis5 2 2 2 2 2" xfId="868" xr:uid="{00000000-0005-0000-0000-0000C8020000}"/>
    <cellStyle name="40% - Énfasis5 2 2 2 3" xfId="654" xr:uid="{00000000-0005-0000-0000-0000C9020000}"/>
    <cellStyle name="40% - Énfasis5 2 2 3" xfId="326" xr:uid="{00000000-0005-0000-0000-0000CA020000}"/>
    <cellStyle name="40% - Énfasis5 2 2 3 2" xfId="768" xr:uid="{00000000-0005-0000-0000-0000CB020000}"/>
    <cellStyle name="40% - Énfasis5 2 2 4" xfId="554" xr:uid="{00000000-0005-0000-0000-0000CC020000}"/>
    <cellStyle name="40% - Énfasis5 2 3" xfId="183" xr:uid="{00000000-0005-0000-0000-0000CD020000}"/>
    <cellStyle name="40% - Énfasis5 2 3 2" xfId="425" xr:uid="{00000000-0005-0000-0000-0000CE020000}"/>
    <cellStyle name="40% - Énfasis5 2 3 2 2" xfId="867" xr:uid="{00000000-0005-0000-0000-0000CF020000}"/>
    <cellStyle name="40% - Énfasis5 2 3 3" xfId="653" xr:uid="{00000000-0005-0000-0000-0000D0020000}"/>
    <cellStyle name="40% - Énfasis5 2 4" xfId="325" xr:uid="{00000000-0005-0000-0000-0000D1020000}"/>
    <cellStyle name="40% - Énfasis5 2 4 2" xfId="767" xr:uid="{00000000-0005-0000-0000-0000D2020000}"/>
    <cellStyle name="40% - Énfasis5 2 5" xfId="553" xr:uid="{00000000-0005-0000-0000-0000D3020000}"/>
    <cellStyle name="40% - Énfasis5 3" xfId="84" xr:uid="{00000000-0005-0000-0000-0000D4020000}"/>
    <cellStyle name="40% - Énfasis5 3 2" xfId="185" xr:uid="{00000000-0005-0000-0000-0000D5020000}"/>
    <cellStyle name="40% - Énfasis5 3 2 2" xfId="427" xr:uid="{00000000-0005-0000-0000-0000D6020000}"/>
    <cellStyle name="40% - Énfasis5 3 2 2 2" xfId="869" xr:uid="{00000000-0005-0000-0000-0000D7020000}"/>
    <cellStyle name="40% - Énfasis5 3 2 3" xfId="655" xr:uid="{00000000-0005-0000-0000-0000D8020000}"/>
    <cellStyle name="40% - Énfasis5 3 3" xfId="327" xr:uid="{00000000-0005-0000-0000-0000D9020000}"/>
    <cellStyle name="40% - Énfasis5 3 3 2" xfId="769" xr:uid="{00000000-0005-0000-0000-0000DA020000}"/>
    <cellStyle name="40% - Énfasis5 3 4" xfId="555" xr:uid="{00000000-0005-0000-0000-0000DB020000}"/>
    <cellStyle name="40% - Énfasis6 2" xfId="85" xr:uid="{00000000-0005-0000-0000-0000DC020000}"/>
    <cellStyle name="40% - Énfasis6 2 2" xfId="86" xr:uid="{00000000-0005-0000-0000-0000DD020000}"/>
    <cellStyle name="40% - Énfasis6 2 2 2" xfId="187" xr:uid="{00000000-0005-0000-0000-0000DE020000}"/>
    <cellStyle name="40% - Énfasis6 2 2 2 2" xfId="429" xr:uid="{00000000-0005-0000-0000-0000DF020000}"/>
    <cellStyle name="40% - Énfasis6 2 2 2 2 2" xfId="871" xr:uid="{00000000-0005-0000-0000-0000E0020000}"/>
    <cellStyle name="40% - Énfasis6 2 2 2 3" xfId="657" xr:uid="{00000000-0005-0000-0000-0000E1020000}"/>
    <cellStyle name="40% - Énfasis6 2 2 3" xfId="329" xr:uid="{00000000-0005-0000-0000-0000E2020000}"/>
    <cellStyle name="40% - Énfasis6 2 2 3 2" xfId="771" xr:uid="{00000000-0005-0000-0000-0000E3020000}"/>
    <cellStyle name="40% - Énfasis6 2 2 4" xfId="557" xr:uid="{00000000-0005-0000-0000-0000E4020000}"/>
    <cellStyle name="40% - Énfasis6 2 3" xfId="186" xr:uid="{00000000-0005-0000-0000-0000E5020000}"/>
    <cellStyle name="40% - Énfasis6 2 3 2" xfId="428" xr:uid="{00000000-0005-0000-0000-0000E6020000}"/>
    <cellStyle name="40% - Énfasis6 2 3 2 2" xfId="870" xr:uid="{00000000-0005-0000-0000-0000E7020000}"/>
    <cellStyle name="40% - Énfasis6 2 3 3" xfId="656" xr:uid="{00000000-0005-0000-0000-0000E8020000}"/>
    <cellStyle name="40% - Énfasis6 2 4" xfId="328" xr:uid="{00000000-0005-0000-0000-0000E9020000}"/>
    <cellStyle name="40% - Énfasis6 2 4 2" xfId="770" xr:uid="{00000000-0005-0000-0000-0000EA020000}"/>
    <cellStyle name="40% - Énfasis6 2 5" xfId="556" xr:uid="{00000000-0005-0000-0000-0000EB020000}"/>
    <cellStyle name="40% - Énfasis6 3" xfId="87" xr:uid="{00000000-0005-0000-0000-0000EC020000}"/>
    <cellStyle name="40% - Énfasis6 3 2" xfId="188" xr:uid="{00000000-0005-0000-0000-0000ED020000}"/>
    <cellStyle name="40% - Énfasis6 3 2 2" xfId="430" xr:uid="{00000000-0005-0000-0000-0000EE020000}"/>
    <cellStyle name="40% - Énfasis6 3 2 2 2" xfId="872" xr:uid="{00000000-0005-0000-0000-0000EF020000}"/>
    <cellStyle name="40% - Énfasis6 3 2 3" xfId="658" xr:uid="{00000000-0005-0000-0000-0000F0020000}"/>
    <cellStyle name="40% - Énfasis6 3 3" xfId="330" xr:uid="{00000000-0005-0000-0000-0000F1020000}"/>
    <cellStyle name="40% - Énfasis6 3 3 2" xfId="772" xr:uid="{00000000-0005-0000-0000-0000F2020000}"/>
    <cellStyle name="40% - Énfasis6 3 4" xfId="558" xr:uid="{00000000-0005-0000-0000-0000F3020000}"/>
    <cellStyle name="60% - Accent1" xfId="224" builtinId="32" customBuiltin="1"/>
    <cellStyle name="60% - Accent2" xfId="228" builtinId="36" customBuiltin="1"/>
    <cellStyle name="60% - Accent3" xfId="232" builtinId="40" customBuiltin="1"/>
    <cellStyle name="60% - Accent4" xfId="236" builtinId="44" customBuiltin="1"/>
    <cellStyle name="60% - Accent5" xfId="240" builtinId="48" customBuiltin="1"/>
    <cellStyle name="60% - Accent6" xfId="244" builtinId="52" customBuiltin="1"/>
    <cellStyle name="Accent1" xfId="221" builtinId="29" customBuiltin="1"/>
    <cellStyle name="Accent2" xfId="225" builtinId="33" customBuiltin="1"/>
    <cellStyle name="Accent3" xfId="229" builtinId="37" customBuiltin="1"/>
    <cellStyle name="Accent4" xfId="233" builtinId="41" customBuiltin="1"/>
    <cellStyle name="Accent5" xfId="237" builtinId="45" customBuiltin="1"/>
    <cellStyle name="Accent6" xfId="241" builtinId="49" customBuiltin="1"/>
    <cellStyle name="Bad" xfId="211" builtinId="27" customBuiltin="1"/>
    <cellStyle name="Calculation" xfId="215" builtinId="22" customBuiltin="1"/>
    <cellStyle name="Check Cell" xfId="217" builtinId="23" customBuiltin="1"/>
    <cellStyle name="Explanatory Text" xfId="219" builtinId="53" customBuiltin="1"/>
    <cellStyle name="Good" xfId="210" builtinId="26" customBuiltin="1"/>
    <cellStyle name="Heading 1" xfId="206" builtinId="16" customBuiltin="1"/>
    <cellStyle name="Heading 2" xfId="207" builtinId="17" customBuiltin="1"/>
    <cellStyle name="Heading 3" xfId="208" builtinId="18" customBuiltin="1"/>
    <cellStyle name="Heading 4" xfId="209" builtinId="19" customBuiltin="1"/>
    <cellStyle name="Input" xfId="213" builtinId="20" customBuiltin="1"/>
    <cellStyle name="Linked Cell" xfId="216" builtinId="24" customBuiltin="1"/>
    <cellStyle name="Neutral" xfId="212" builtinId="28" customBuiltin="1"/>
    <cellStyle name="Normal" xfId="0" builtinId="0"/>
    <cellStyle name="Normal 2" xfId="2" xr:uid="{00000000-0005-0000-0000-000007030000}"/>
    <cellStyle name="Normal 3" xfId="88" xr:uid="{00000000-0005-0000-0000-000008030000}"/>
    <cellStyle name="Normal 3 2" xfId="89" xr:uid="{00000000-0005-0000-0000-000009030000}"/>
    <cellStyle name="Normal 3 2 2" xfId="90" xr:uid="{00000000-0005-0000-0000-00000A030000}"/>
    <cellStyle name="Normal 3 2 2 2" xfId="91" xr:uid="{00000000-0005-0000-0000-00000B030000}"/>
    <cellStyle name="Normal 3 2 2 2 2" xfId="192" xr:uid="{00000000-0005-0000-0000-00000C030000}"/>
    <cellStyle name="Normal 3 2 2 2 2 2" xfId="434" xr:uid="{00000000-0005-0000-0000-00000D030000}"/>
    <cellStyle name="Normal 3 2 2 2 2 2 2" xfId="876" xr:uid="{00000000-0005-0000-0000-00000E030000}"/>
    <cellStyle name="Normal 3 2 2 2 2 3" xfId="662" xr:uid="{00000000-0005-0000-0000-00000F030000}"/>
    <cellStyle name="Normal 3 2 2 2 3" xfId="334" xr:uid="{00000000-0005-0000-0000-000010030000}"/>
    <cellStyle name="Normal 3 2 2 2 3 2" xfId="776" xr:uid="{00000000-0005-0000-0000-000011030000}"/>
    <cellStyle name="Normal 3 2 2 2 4" xfId="562" xr:uid="{00000000-0005-0000-0000-000012030000}"/>
    <cellStyle name="Normal 3 2 2 3" xfId="191" xr:uid="{00000000-0005-0000-0000-000013030000}"/>
    <cellStyle name="Normal 3 2 2 3 2" xfId="433" xr:uid="{00000000-0005-0000-0000-000014030000}"/>
    <cellStyle name="Normal 3 2 2 3 2 2" xfId="875" xr:uid="{00000000-0005-0000-0000-000015030000}"/>
    <cellStyle name="Normal 3 2 2 3 3" xfId="661" xr:uid="{00000000-0005-0000-0000-000016030000}"/>
    <cellStyle name="Normal 3 2 2 4" xfId="333" xr:uid="{00000000-0005-0000-0000-000017030000}"/>
    <cellStyle name="Normal 3 2 2 4 2" xfId="775" xr:uid="{00000000-0005-0000-0000-000018030000}"/>
    <cellStyle name="Normal 3 2 2 5" xfId="561" xr:uid="{00000000-0005-0000-0000-000019030000}"/>
    <cellStyle name="Normal 3 2 3" xfId="92" xr:uid="{00000000-0005-0000-0000-00001A030000}"/>
    <cellStyle name="Normal 3 2 3 2" xfId="193" xr:uid="{00000000-0005-0000-0000-00001B030000}"/>
    <cellStyle name="Normal 3 2 3 2 2" xfId="435" xr:uid="{00000000-0005-0000-0000-00001C030000}"/>
    <cellStyle name="Normal 3 2 3 2 2 2" xfId="877" xr:uid="{00000000-0005-0000-0000-00001D030000}"/>
    <cellStyle name="Normal 3 2 3 2 3" xfId="663" xr:uid="{00000000-0005-0000-0000-00001E030000}"/>
    <cellStyle name="Normal 3 2 3 3" xfId="335" xr:uid="{00000000-0005-0000-0000-00001F030000}"/>
    <cellStyle name="Normal 3 2 3 3 2" xfId="777" xr:uid="{00000000-0005-0000-0000-000020030000}"/>
    <cellStyle name="Normal 3 2 3 4" xfId="563" xr:uid="{00000000-0005-0000-0000-000021030000}"/>
    <cellStyle name="Normal 3 2 4" xfId="190" xr:uid="{00000000-0005-0000-0000-000022030000}"/>
    <cellStyle name="Normal 3 2 4 2" xfId="432" xr:uid="{00000000-0005-0000-0000-000023030000}"/>
    <cellStyle name="Normal 3 2 4 2 2" xfId="874" xr:uid="{00000000-0005-0000-0000-000024030000}"/>
    <cellStyle name="Normal 3 2 4 3" xfId="660" xr:uid="{00000000-0005-0000-0000-000025030000}"/>
    <cellStyle name="Normal 3 2 5" xfId="332" xr:uid="{00000000-0005-0000-0000-000026030000}"/>
    <cellStyle name="Normal 3 2 5 2" xfId="774" xr:uid="{00000000-0005-0000-0000-000027030000}"/>
    <cellStyle name="Normal 3 2 6" xfId="560" xr:uid="{00000000-0005-0000-0000-000028030000}"/>
    <cellStyle name="Normal 3 3" xfId="93" xr:uid="{00000000-0005-0000-0000-000029030000}"/>
    <cellStyle name="Normal 3 3 2" xfId="94" xr:uid="{00000000-0005-0000-0000-00002A030000}"/>
    <cellStyle name="Normal 3 3 2 2" xfId="195" xr:uid="{00000000-0005-0000-0000-00002B030000}"/>
    <cellStyle name="Normal 3 3 2 2 2" xfId="437" xr:uid="{00000000-0005-0000-0000-00002C030000}"/>
    <cellStyle name="Normal 3 3 2 2 2 2" xfId="879" xr:uid="{00000000-0005-0000-0000-00002D030000}"/>
    <cellStyle name="Normal 3 3 2 2 3" xfId="665" xr:uid="{00000000-0005-0000-0000-00002E030000}"/>
    <cellStyle name="Normal 3 3 2 3" xfId="337" xr:uid="{00000000-0005-0000-0000-00002F030000}"/>
    <cellStyle name="Normal 3 3 2 3 2" xfId="779" xr:uid="{00000000-0005-0000-0000-000030030000}"/>
    <cellStyle name="Normal 3 3 2 4" xfId="565" xr:uid="{00000000-0005-0000-0000-000031030000}"/>
    <cellStyle name="Normal 3 3 3" xfId="194" xr:uid="{00000000-0005-0000-0000-000032030000}"/>
    <cellStyle name="Normal 3 3 3 2" xfId="436" xr:uid="{00000000-0005-0000-0000-000033030000}"/>
    <cellStyle name="Normal 3 3 3 2 2" xfId="878" xr:uid="{00000000-0005-0000-0000-000034030000}"/>
    <cellStyle name="Normal 3 3 3 3" xfId="664" xr:uid="{00000000-0005-0000-0000-000035030000}"/>
    <cellStyle name="Normal 3 3 4" xfId="336" xr:uid="{00000000-0005-0000-0000-000036030000}"/>
    <cellStyle name="Normal 3 3 4 2" xfId="778" xr:uid="{00000000-0005-0000-0000-000037030000}"/>
    <cellStyle name="Normal 3 3 5" xfId="564" xr:uid="{00000000-0005-0000-0000-000038030000}"/>
    <cellStyle name="Normal 3 4" xfId="95" xr:uid="{00000000-0005-0000-0000-000039030000}"/>
    <cellStyle name="Normal 3 4 2" xfId="196" xr:uid="{00000000-0005-0000-0000-00003A030000}"/>
    <cellStyle name="Normal 3 4 2 2" xfId="438" xr:uid="{00000000-0005-0000-0000-00003B030000}"/>
    <cellStyle name="Normal 3 4 2 2 2" xfId="880" xr:uid="{00000000-0005-0000-0000-00003C030000}"/>
    <cellStyle name="Normal 3 4 2 3" xfId="666" xr:uid="{00000000-0005-0000-0000-00003D030000}"/>
    <cellStyle name="Normal 3 4 3" xfId="338" xr:uid="{00000000-0005-0000-0000-00003E030000}"/>
    <cellStyle name="Normal 3 4 3 2" xfId="780" xr:uid="{00000000-0005-0000-0000-00003F030000}"/>
    <cellStyle name="Normal 3 4 4" xfId="566" xr:uid="{00000000-0005-0000-0000-000040030000}"/>
    <cellStyle name="Normal 3 5" xfId="189" xr:uid="{00000000-0005-0000-0000-000041030000}"/>
    <cellStyle name="Normal 3 5 2" xfId="431" xr:uid="{00000000-0005-0000-0000-000042030000}"/>
    <cellStyle name="Normal 3 5 2 2" xfId="873" xr:uid="{00000000-0005-0000-0000-000043030000}"/>
    <cellStyle name="Normal 3 5 3" xfId="659" xr:uid="{00000000-0005-0000-0000-000044030000}"/>
    <cellStyle name="Normal 3 6" xfId="245" xr:uid="{00000000-0005-0000-0000-000045030000}"/>
    <cellStyle name="Normal 3 6 2" xfId="459" xr:uid="{00000000-0005-0000-0000-000046030000}"/>
    <cellStyle name="Normal 3 6 2 2" xfId="901" xr:uid="{00000000-0005-0000-0000-000047030000}"/>
    <cellStyle name="Normal 3 6 3" xfId="687" xr:uid="{00000000-0005-0000-0000-000048030000}"/>
    <cellStyle name="Normal 3 7" xfId="473" xr:uid="{00000000-0005-0000-0000-000049030000}"/>
    <cellStyle name="Normal 3 7 2" xfId="915" xr:uid="{00000000-0005-0000-0000-00004A030000}"/>
    <cellStyle name="Normal 3 8" xfId="331" xr:uid="{00000000-0005-0000-0000-00004B030000}"/>
    <cellStyle name="Normal 3 8 2" xfId="773" xr:uid="{00000000-0005-0000-0000-00004C030000}"/>
    <cellStyle name="Normal 3 9" xfId="559" xr:uid="{00000000-0005-0000-0000-00004D030000}"/>
    <cellStyle name="Note 2" xfId="96" xr:uid="{00000000-0005-0000-0000-00004E030000}"/>
    <cellStyle name="Note 2 2" xfId="97" xr:uid="{00000000-0005-0000-0000-00004F030000}"/>
    <cellStyle name="Note 2 2 2" xfId="98" xr:uid="{00000000-0005-0000-0000-000050030000}"/>
    <cellStyle name="Note 2 2 2 2" xfId="99" xr:uid="{00000000-0005-0000-0000-000051030000}"/>
    <cellStyle name="Note 2 2 2 2 2" xfId="200" xr:uid="{00000000-0005-0000-0000-000052030000}"/>
    <cellStyle name="Note 2 2 2 2 2 2" xfId="442" xr:uid="{00000000-0005-0000-0000-000053030000}"/>
    <cellStyle name="Note 2 2 2 2 2 2 2" xfId="884" xr:uid="{00000000-0005-0000-0000-000054030000}"/>
    <cellStyle name="Note 2 2 2 2 2 3" xfId="670" xr:uid="{00000000-0005-0000-0000-000055030000}"/>
    <cellStyle name="Note 2 2 2 2 3" xfId="342" xr:uid="{00000000-0005-0000-0000-000056030000}"/>
    <cellStyle name="Note 2 2 2 2 3 2" xfId="784" xr:uid="{00000000-0005-0000-0000-000057030000}"/>
    <cellStyle name="Note 2 2 2 2 4" xfId="570" xr:uid="{00000000-0005-0000-0000-000058030000}"/>
    <cellStyle name="Note 2 2 2 3" xfId="199" xr:uid="{00000000-0005-0000-0000-000059030000}"/>
    <cellStyle name="Note 2 2 2 3 2" xfId="441" xr:uid="{00000000-0005-0000-0000-00005A030000}"/>
    <cellStyle name="Note 2 2 2 3 2 2" xfId="883" xr:uid="{00000000-0005-0000-0000-00005B030000}"/>
    <cellStyle name="Note 2 2 2 3 3" xfId="669" xr:uid="{00000000-0005-0000-0000-00005C030000}"/>
    <cellStyle name="Note 2 2 2 4" xfId="341" xr:uid="{00000000-0005-0000-0000-00005D030000}"/>
    <cellStyle name="Note 2 2 2 4 2" xfId="783" xr:uid="{00000000-0005-0000-0000-00005E030000}"/>
    <cellStyle name="Note 2 2 2 5" xfId="569" xr:uid="{00000000-0005-0000-0000-00005F030000}"/>
    <cellStyle name="Note 2 2 3" xfId="100" xr:uid="{00000000-0005-0000-0000-000060030000}"/>
    <cellStyle name="Note 2 2 3 2" xfId="201" xr:uid="{00000000-0005-0000-0000-000061030000}"/>
    <cellStyle name="Note 2 2 3 2 2" xfId="443" xr:uid="{00000000-0005-0000-0000-000062030000}"/>
    <cellStyle name="Note 2 2 3 2 2 2" xfId="885" xr:uid="{00000000-0005-0000-0000-000063030000}"/>
    <cellStyle name="Note 2 2 3 2 3" xfId="671" xr:uid="{00000000-0005-0000-0000-000064030000}"/>
    <cellStyle name="Note 2 2 3 3" xfId="343" xr:uid="{00000000-0005-0000-0000-000065030000}"/>
    <cellStyle name="Note 2 2 3 3 2" xfId="785" xr:uid="{00000000-0005-0000-0000-000066030000}"/>
    <cellStyle name="Note 2 2 3 4" xfId="571" xr:uid="{00000000-0005-0000-0000-000067030000}"/>
    <cellStyle name="Note 2 2 4" xfId="198" xr:uid="{00000000-0005-0000-0000-000068030000}"/>
    <cellStyle name="Note 2 2 4 2" xfId="440" xr:uid="{00000000-0005-0000-0000-000069030000}"/>
    <cellStyle name="Note 2 2 4 2 2" xfId="882" xr:uid="{00000000-0005-0000-0000-00006A030000}"/>
    <cellStyle name="Note 2 2 4 3" xfId="668" xr:uid="{00000000-0005-0000-0000-00006B030000}"/>
    <cellStyle name="Note 2 2 5" xfId="340" xr:uid="{00000000-0005-0000-0000-00006C030000}"/>
    <cellStyle name="Note 2 2 5 2" xfId="782" xr:uid="{00000000-0005-0000-0000-00006D030000}"/>
    <cellStyle name="Note 2 2 6" xfId="568" xr:uid="{00000000-0005-0000-0000-00006E030000}"/>
    <cellStyle name="Note 2 3" xfId="101" xr:uid="{00000000-0005-0000-0000-00006F030000}"/>
    <cellStyle name="Note 2 3 2" xfId="102" xr:uid="{00000000-0005-0000-0000-000070030000}"/>
    <cellStyle name="Note 2 3 2 2" xfId="203" xr:uid="{00000000-0005-0000-0000-000071030000}"/>
    <cellStyle name="Note 2 3 2 2 2" xfId="445" xr:uid="{00000000-0005-0000-0000-000072030000}"/>
    <cellStyle name="Note 2 3 2 2 2 2" xfId="887" xr:uid="{00000000-0005-0000-0000-000073030000}"/>
    <cellStyle name="Note 2 3 2 2 3" xfId="673" xr:uid="{00000000-0005-0000-0000-000074030000}"/>
    <cellStyle name="Note 2 3 2 3" xfId="345" xr:uid="{00000000-0005-0000-0000-000075030000}"/>
    <cellStyle name="Note 2 3 2 3 2" xfId="787" xr:uid="{00000000-0005-0000-0000-000076030000}"/>
    <cellStyle name="Note 2 3 2 4" xfId="573" xr:uid="{00000000-0005-0000-0000-000077030000}"/>
    <cellStyle name="Note 2 3 3" xfId="202" xr:uid="{00000000-0005-0000-0000-000078030000}"/>
    <cellStyle name="Note 2 3 3 2" xfId="444" xr:uid="{00000000-0005-0000-0000-000079030000}"/>
    <cellStyle name="Note 2 3 3 2 2" xfId="886" xr:uid="{00000000-0005-0000-0000-00007A030000}"/>
    <cellStyle name="Note 2 3 3 3" xfId="672" xr:uid="{00000000-0005-0000-0000-00007B030000}"/>
    <cellStyle name="Note 2 3 4" xfId="344" xr:uid="{00000000-0005-0000-0000-00007C030000}"/>
    <cellStyle name="Note 2 3 4 2" xfId="786" xr:uid="{00000000-0005-0000-0000-00007D030000}"/>
    <cellStyle name="Note 2 3 5" xfId="572" xr:uid="{00000000-0005-0000-0000-00007E030000}"/>
    <cellStyle name="Note 2 4" xfId="103" xr:uid="{00000000-0005-0000-0000-00007F030000}"/>
    <cellStyle name="Note 2 4 2" xfId="204" xr:uid="{00000000-0005-0000-0000-000080030000}"/>
    <cellStyle name="Note 2 4 2 2" xfId="446" xr:uid="{00000000-0005-0000-0000-000081030000}"/>
    <cellStyle name="Note 2 4 2 2 2" xfId="888" xr:uid="{00000000-0005-0000-0000-000082030000}"/>
    <cellStyle name="Note 2 4 2 3" xfId="674" xr:uid="{00000000-0005-0000-0000-000083030000}"/>
    <cellStyle name="Note 2 4 3" xfId="346" xr:uid="{00000000-0005-0000-0000-000084030000}"/>
    <cellStyle name="Note 2 4 3 2" xfId="788" xr:uid="{00000000-0005-0000-0000-000085030000}"/>
    <cellStyle name="Note 2 4 4" xfId="574" xr:uid="{00000000-0005-0000-0000-000086030000}"/>
    <cellStyle name="Note 2 5" xfId="197" xr:uid="{00000000-0005-0000-0000-000087030000}"/>
    <cellStyle name="Note 2 5 2" xfId="439" xr:uid="{00000000-0005-0000-0000-000088030000}"/>
    <cellStyle name="Note 2 5 2 2" xfId="881" xr:uid="{00000000-0005-0000-0000-000089030000}"/>
    <cellStyle name="Note 2 5 3" xfId="667" xr:uid="{00000000-0005-0000-0000-00008A030000}"/>
    <cellStyle name="Note 2 6" xfId="246" xr:uid="{00000000-0005-0000-0000-00008B030000}"/>
    <cellStyle name="Note 2 6 2" xfId="460" xr:uid="{00000000-0005-0000-0000-00008C030000}"/>
    <cellStyle name="Note 2 6 2 2" xfId="902" xr:uid="{00000000-0005-0000-0000-00008D030000}"/>
    <cellStyle name="Note 2 6 3" xfId="688" xr:uid="{00000000-0005-0000-0000-00008E030000}"/>
    <cellStyle name="Note 2 7" xfId="474" xr:uid="{00000000-0005-0000-0000-00008F030000}"/>
    <cellStyle name="Note 2 7 2" xfId="916" xr:uid="{00000000-0005-0000-0000-000090030000}"/>
    <cellStyle name="Note 2 8" xfId="339" xr:uid="{00000000-0005-0000-0000-000091030000}"/>
    <cellStyle name="Note 2 8 2" xfId="781" xr:uid="{00000000-0005-0000-0000-000092030000}"/>
    <cellStyle name="Note 2 9" xfId="567" xr:uid="{00000000-0005-0000-0000-000093030000}"/>
    <cellStyle name="Notiz 2" xfId="918" xr:uid="{00000000-0005-0000-0000-000094030000}"/>
    <cellStyle name="Output" xfId="214" builtinId="21" customBuiltin="1"/>
    <cellStyle name="Per cent" xfId="1" builtinId="5"/>
    <cellStyle name="Porcentaje 2" xfId="104" xr:uid="{00000000-0005-0000-0000-000095030000}"/>
    <cellStyle name="Standard 2" xfId="917" xr:uid="{00000000-0005-0000-0000-000099030000}"/>
    <cellStyle name="Standard_Tab1" xfId="3" xr:uid="{00000000-0005-0000-0000-00009A030000}"/>
    <cellStyle name="Title" xfId="205" builtinId="15" customBuiltin="1"/>
    <cellStyle name="Total" xfId="220" builtinId="25" customBuiltin="1"/>
    <cellStyle name="Warning Text" xfId="218" builtinId="11" customBuiltin="1"/>
  </cellStyles>
  <dxfs count="577">
    <dxf>
      <font>
        <b/>
        <i val="0"/>
        <condense val="0"/>
        <extend val="0"/>
        <color indexed="14"/>
      </font>
      <fill>
        <patternFill>
          <bgColor indexed="43"/>
        </patternFill>
      </fill>
    </dxf>
    <dxf>
      <font>
        <b/>
        <i val="0"/>
        <condense val="0"/>
        <extend val="0"/>
        <color indexed="14"/>
      </font>
      <fill>
        <patternFill>
          <bgColor indexed="43"/>
        </patternFill>
      </fill>
    </dxf>
    <dxf>
      <font>
        <b/>
        <i val="0"/>
        <condense val="0"/>
        <extend val="0"/>
        <color indexed="14"/>
      </font>
      <fill>
        <patternFill>
          <bgColor indexed="43"/>
        </patternFill>
      </fill>
    </dxf>
    <dxf>
      <font>
        <b/>
        <i val="0"/>
        <strike/>
        <color rgb="FFDD0806"/>
      </font>
    </dxf>
    <dxf>
      <font>
        <b/>
        <i val="0"/>
        <strike/>
        <color rgb="FFDD0806"/>
      </font>
    </dxf>
    <dxf>
      <font>
        <b/>
        <i val="0"/>
        <strike/>
        <color rgb="FFDD0806"/>
      </font>
    </dxf>
    <dxf>
      <font>
        <b/>
        <i val="0"/>
        <strike/>
        <condense val="0"/>
        <extend val="0"/>
        <color indexed="10"/>
      </font>
    </dxf>
    <dxf>
      <font>
        <b/>
        <i val="0"/>
        <strike/>
        <color rgb="FFDD0806"/>
      </font>
    </dxf>
    <dxf>
      <font>
        <b/>
        <i val="0"/>
        <strike/>
        <color rgb="FFDD0806"/>
      </font>
    </dxf>
    <dxf>
      <font>
        <b/>
        <i val="0"/>
        <condense val="0"/>
        <extend val="0"/>
        <color indexed="14"/>
      </font>
      <fill>
        <patternFill>
          <bgColor indexed="43"/>
        </patternFill>
      </fill>
    </dxf>
    <dxf>
      <font>
        <b/>
        <i val="0"/>
        <condense val="0"/>
        <extend val="0"/>
        <color indexed="14"/>
      </font>
      <fill>
        <patternFill>
          <bgColor indexed="43"/>
        </patternFill>
      </fill>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2" formatCode="0.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6" formatCode="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6" formatCode="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6" formatCode="0.0"/>
    </dxf>
    <dxf>
      <numFmt numFmtId="2" formatCode="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165" formatCode="0.000"/>
    </dxf>
    <dxf>
      <numFmt numFmtId="164" formatCode="0.0000"/>
    </dxf>
    <dxf>
      <numFmt numFmtId="167" formatCode="0.00000"/>
    </dxf>
    <dxf>
      <numFmt numFmtId="170" formatCode="0.000000"/>
    </dxf>
    <dxf>
      <numFmt numFmtId="166" formatCode="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6" formatCode="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2" formatCode="0.00"/>
    </dxf>
    <dxf>
      <numFmt numFmtId="165" formatCode="0.000"/>
    </dxf>
    <dxf>
      <numFmt numFmtId="164" formatCode="0.0000"/>
    </dxf>
    <dxf>
      <numFmt numFmtId="167" formatCode="0.00000"/>
    </dxf>
    <dxf>
      <numFmt numFmtId="166" formatCode="0.0"/>
    </dxf>
    <dxf>
      <numFmt numFmtId="2" formatCode="0.00"/>
    </dxf>
    <dxf>
      <numFmt numFmtId="166" formatCode="0.0"/>
    </dxf>
    <dxf>
      <numFmt numFmtId="2" formatCode="0.00"/>
    </dxf>
    <dxf>
      <numFmt numFmtId="165" formatCode="0.000"/>
    </dxf>
    <dxf>
      <numFmt numFmtId="164" formatCode="0.0000"/>
    </dxf>
    <dxf>
      <numFmt numFmtId="167" formatCode="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166" formatCode="0.0"/>
    </dxf>
    <dxf>
      <numFmt numFmtId="2" formatCode="0.00"/>
    </dxf>
    <dxf>
      <numFmt numFmtId="165" formatCode="0.000"/>
    </dxf>
    <dxf>
      <numFmt numFmtId="166" formatCode="0.0"/>
    </dxf>
    <dxf>
      <numFmt numFmtId="2" formatCode="0.00"/>
    </dxf>
    <dxf>
      <numFmt numFmtId="1" formatCode="0"/>
    </dxf>
    <dxf>
      <numFmt numFmtId="166" formatCode="0.0"/>
    </dxf>
    <dxf>
      <numFmt numFmtId="2" formatCode="0.00"/>
    </dxf>
    <dxf>
      <numFmt numFmtId="1" formatCode="0"/>
    </dxf>
    <dxf>
      <numFmt numFmtId="166" formatCode="0.0"/>
    </dxf>
    <dxf>
      <numFmt numFmtId="2" formatCode="0.00"/>
    </dxf>
    <dxf>
      <numFmt numFmtId="1" formatCode="0"/>
    </dxf>
    <dxf>
      <numFmt numFmtId="166" formatCode="0.0"/>
    </dxf>
    <dxf>
      <numFmt numFmtId="2" formatCode="0.00"/>
    </dxf>
    <dxf>
      <numFmt numFmtId="1" formatCode="0"/>
    </dxf>
    <dxf>
      <numFmt numFmtId="1" formatCode="0"/>
    </dxf>
    <dxf>
      <numFmt numFmtId="166" formatCode="0.0"/>
    </dxf>
    <dxf>
      <numFmt numFmtId="2" formatCode="0.00"/>
    </dxf>
    <dxf>
      <numFmt numFmtId="165" formatCode="0.000"/>
    </dxf>
    <dxf>
      <numFmt numFmtId="164" formatCode="0.0000"/>
    </dxf>
    <dxf>
      <numFmt numFmtId="2" formatCode="0.00"/>
    </dxf>
    <dxf>
      <numFmt numFmtId="1" formatCode="0"/>
    </dxf>
    <dxf>
      <numFmt numFmtId="166" formatCode="0.0"/>
    </dxf>
    <dxf>
      <numFmt numFmtId="2" formatCode="0.00"/>
    </dxf>
    <dxf>
      <numFmt numFmtId="165" formatCode="0.000"/>
    </dxf>
    <dxf>
      <numFmt numFmtId="164" formatCode="0.0000"/>
    </dxf>
    <dxf>
      <numFmt numFmtId="1" formatCode="0"/>
    </dxf>
    <dxf>
      <numFmt numFmtId="166" formatCode="0.0"/>
    </dxf>
    <dxf>
      <numFmt numFmtId="2" formatCode="0.00"/>
    </dxf>
    <dxf>
      <numFmt numFmtId="165" formatCode="0.000"/>
    </dxf>
    <dxf>
      <numFmt numFmtId="164" formatCode="0.0000"/>
    </dxf>
    <dxf>
      <numFmt numFmtId="2" formatCode="0.00"/>
    </dxf>
    <dxf>
      <numFmt numFmtId="165" formatCode="0.000"/>
    </dxf>
    <dxf>
      <numFmt numFmtId="164" formatCode="0.0000"/>
    </dxf>
    <dxf>
      <numFmt numFmtId="167" formatCode="0.00000"/>
    </dxf>
    <dxf>
      <numFmt numFmtId="170" formatCode="0.000000"/>
    </dxf>
    <dxf>
      <numFmt numFmtId="166" formatCode="0.0"/>
    </dxf>
    <dxf>
      <numFmt numFmtId="2" formatCode="0.00"/>
    </dxf>
    <dxf>
      <numFmt numFmtId="165" formatCode="0.000"/>
    </dxf>
    <dxf>
      <numFmt numFmtId="164" formatCode="0.0000"/>
    </dxf>
    <dxf>
      <numFmt numFmtId="167" formatCode="0.00000"/>
    </dxf>
    <dxf>
      <numFmt numFmtId="170" formatCode="0.000000"/>
    </dxf>
    <dxf>
      <numFmt numFmtId="176" formatCode="0.0000000"/>
    </dxf>
    <dxf>
      <numFmt numFmtId="2" formatCode="0.00"/>
    </dxf>
    <dxf>
      <numFmt numFmtId="165" formatCode="0.000"/>
    </dxf>
    <dxf>
      <numFmt numFmtId="164" formatCode="0.0000"/>
    </dxf>
    <dxf>
      <numFmt numFmtId="167" formatCode="0.00000"/>
    </dxf>
    <dxf>
      <numFmt numFmtId="166" formatCode="0.0"/>
    </dxf>
    <dxf>
      <numFmt numFmtId="1" formatCode="0"/>
    </dxf>
    <dxf>
      <numFmt numFmtId="166" formatCode="0.0"/>
    </dxf>
    <dxf>
      <numFmt numFmtId="2" formatCode="0.00"/>
    </dxf>
    <dxf>
      <font>
        <b/>
        <i val="0"/>
        <strike/>
        <color rgb="FFDD0806"/>
      </font>
    </dxf>
    <dxf>
      <font>
        <b/>
        <i val="0"/>
        <strike/>
        <condense val="0"/>
        <extend val="0"/>
        <color indexed="1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color rgb="FFDD0806"/>
      </font>
    </dxf>
    <dxf>
      <font>
        <b/>
        <i val="0"/>
        <strike/>
        <color rgb="FFDD0806"/>
      </font>
    </dxf>
    <dxf>
      <fill>
        <patternFill>
          <bgColor rgb="FFFF0000"/>
        </patternFill>
      </fill>
    </dxf>
    <dxf>
      <font>
        <b/>
        <i val="0"/>
        <condense val="0"/>
        <extend val="0"/>
        <color indexed="14"/>
      </font>
      <fill>
        <patternFill>
          <bgColor indexed="43"/>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ndense val="0"/>
        <extend val="0"/>
        <color indexed="10"/>
      </font>
      <fill>
        <patternFill>
          <bgColor indexed="43"/>
        </patternFill>
      </fill>
    </dxf>
    <dxf>
      <font>
        <color theme="0"/>
      </font>
      <fill>
        <patternFill>
          <bgColor theme="0"/>
        </patternFill>
      </fill>
    </dxf>
    <dxf>
      <fill>
        <patternFill>
          <bgColor rgb="FF00B0F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66"/>
      <color rgb="FFFFFFCC"/>
      <color rgb="FF85DFFF"/>
      <color rgb="FFFFE0A7"/>
      <color rgb="FFFFCC99"/>
      <color rgb="FFFAFAFA"/>
      <color rgb="FFF8F8F8"/>
      <color rgb="FFFCFCFC"/>
      <color rgb="FFCCFFCC"/>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yVal>
            <c:numRef>
              <c:f>'Tab1'!$Y$41:$Y$54</c:f>
              <c:numCache>
                <c:formatCode>0.000</c:formatCode>
                <c:ptCount val="14"/>
                <c:pt idx="0">
                  <c:v>4.0517860351447732</c:v>
                </c:pt>
                <c:pt idx="1">
                  <c:v>4.0487306732299935</c:v>
                </c:pt>
                <c:pt idx="2">
                  <c:v>4.0508689268869018</c:v>
                </c:pt>
                <c:pt idx="3">
                  <c:v>4.0485288424788726</c:v>
                </c:pt>
                <c:pt idx="4">
                  <c:v>4.052047465559153</c:v>
                </c:pt>
                <c:pt idx="5">
                  <c:v>4.0488787473742933</c:v>
                </c:pt>
                <c:pt idx="6">
                  <c:v>4.049373099807676</c:v>
                </c:pt>
                <c:pt idx="7">
                  <c:v>4.0524678822195064</c:v>
                </c:pt>
                <c:pt idx="8">
                  <c:v>4.050532979185447</c:v>
                </c:pt>
                <c:pt idx="9">
                  <c:v>4.046802225458916</c:v>
                </c:pt>
                <c:pt idx="10">
                  <c:v>4.051843228997015</c:v>
                </c:pt>
                <c:pt idx="11">
                  <c:v>4.0503556755476557</c:v>
                </c:pt>
                <c:pt idx="12">
                  <c:v>4.0504386571840465</c:v>
                </c:pt>
                <c:pt idx="13">
                  <c:v>4.0494455597863208</c:v>
                </c:pt>
              </c:numCache>
            </c:numRef>
          </c:yVal>
          <c:smooth val="0"/>
          <c:extLst>
            <c:ext xmlns:c16="http://schemas.microsoft.com/office/drawing/2014/chart" uri="{C3380CC4-5D6E-409C-BE32-E72D297353CC}">
              <c16:uniqueId val="{00000000-EDF6-49A7-A990-637AF28770B4}"/>
            </c:ext>
          </c:extLst>
        </c:ser>
        <c:dLbls>
          <c:showLegendKey val="0"/>
          <c:showVal val="0"/>
          <c:showCatName val="0"/>
          <c:showSerName val="0"/>
          <c:showPercent val="0"/>
          <c:showBubbleSize val="0"/>
        </c:dLbls>
        <c:axId val="1771251424"/>
        <c:axId val="1771266400"/>
      </c:scatterChart>
      <c:valAx>
        <c:axId val="177125142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1266400"/>
        <c:crosses val="autoZero"/>
        <c:crossBetween val="midCat"/>
      </c:valAx>
      <c:valAx>
        <c:axId val="177126640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DE"/>
            </a:p>
          </c:txPr>
        </c:title>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1251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errBars>
            <c:errDir val="y"/>
            <c:errBarType val="both"/>
            <c:errValType val="cust"/>
            <c:noEndCap val="0"/>
            <c:plus>
              <c:numRef>
                <c:f>'Tab1'!$AB$41:$AB$54</c:f>
                <c:numCache>
                  <c:formatCode>General</c:formatCode>
                  <c:ptCount val="14"/>
                  <c:pt idx="0">
                    <c:v>0.20732680569901518</c:v>
                  </c:pt>
                  <c:pt idx="1">
                    <c:v>0.18892411001969478</c:v>
                  </c:pt>
                  <c:pt idx="2">
                    <c:v>0.21467601506131029</c:v>
                  </c:pt>
                  <c:pt idx="3">
                    <c:v>0.17582981005459519</c:v>
                  </c:pt>
                  <c:pt idx="4">
                    <c:v>0.23131271843357393</c:v>
                  </c:pt>
                  <c:pt idx="5">
                    <c:v>0.23138581164627858</c:v>
                  </c:pt>
                  <c:pt idx="6">
                    <c:v>0.24004118825848852</c:v>
                  </c:pt>
                  <c:pt idx="7">
                    <c:v>0.26083621157324544</c:v>
                  </c:pt>
                  <c:pt idx="8">
                    <c:v>0.25060721815728382</c:v>
                  </c:pt>
                  <c:pt idx="9">
                    <c:v>0.20261126819598463</c:v>
                  </c:pt>
                  <c:pt idx="10">
                    <c:v>0.26599976550334414</c:v>
                  </c:pt>
                  <c:pt idx="11">
                    <c:v>0.22391084069406375</c:v>
                  </c:pt>
                  <c:pt idx="12">
                    <c:v>0.22294779159370837</c:v>
                  </c:pt>
                  <c:pt idx="13">
                    <c:v>0.24104342342334828</c:v>
                  </c:pt>
                </c:numCache>
              </c:numRef>
            </c:plus>
            <c:minus>
              <c:numRef>
                <c:f>'Tab1'!$AB$41:$AB$54</c:f>
                <c:numCache>
                  <c:formatCode>General</c:formatCode>
                  <c:ptCount val="14"/>
                  <c:pt idx="0">
                    <c:v>0.20732680569901518</c:v>
                  </c:pt>
                  <c:pt idx="1">
                    <c:v>0.18892411001969478</c:v>
                  </c:pt>
                  <c:pt idx="2">
                    <c:v>0.21467601506131029</c:v>
                  </c:pt>
                  <c:pt idx="3">
                    <c:v>0.17582981005459519</c:v>
                  </c:pt>
                  <c:pt idx="4">
                    <c:v>0.23131271843357393</c:v>
                  </c:pt>
                  <c:pt idx="5">
                    <c:v>0.23138581164627858</c:v>
                  </c:pt>
                  <c:pt idx="6">
                    <c:v>0.24004118825848852</c:v>
                  </c:pt>
                  <c:pt idx="7">
                    <c:v>0.26083621157324544</c:v>
                  </c:pt>
                  <c:pt idx="8">
                    <c:v>0.25060721815728382</c:v>
                  </c:pt>
                  <c:pt idx="9">
                    <c:v>0.20261126819598463</c:v>
                  </c:pt>
                  <c:pt idx="10">
                    <c:v>0.26599976550334414</c:v>
                  </c:pt>
                  <c:pt idx="11">
                    <c:v>0.22391084069406375</c:v>
                  </c:pt>
                  <c:pt idx="12">
                    <c:v>0.22294779159370837</c:v>
                  </c:pt>
                  <c:pt idx="13">
                    <c:v>0.24104342342334828</c:v>
                  </c:pt>
                </c:numCache>
              </c:numRef>
            </c:minus>
            <c:spPr>
              <a:noFill/>
              <a:ln w="9525" cap="flat" cmpd="sng" algn="ctr">
                <a:solidFill>
                  <a:schemeClr val="tx1">
                    <a:lumMod val="65000"/>
                    <a:lumOff val="35000"/>
                  </a:schemeClr>
                </a:solidFill>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'Tab1'!$W$41:$W$54</c:f>
              <c:numCache>
                <c:formatCode>0</c:formatCode>
                <c:ptCount val="14"/>
                <c:pt idx="0">
                  <c:v>3</c:v>
                </c:pt>
                <c:pt idx="1">
                  <c:v>4</c:v>
                </c:pt>
                <c:pt idx="2">
                  <c:v>53</c:v>
                </c:pt>
                <c:pt idx="3">
                  <c:v>54</c:v>
                </c:pt>
                <c:pt idx="4">
                  <c:v>103</c:v>
                </c:pt>
                <c:pt idx="5">
                  <c:v>104</c:v>
                </c:pt>
                <c:pt idx="6">
                  <c:v>153</c:v>
                </c:pt>
                <c:pt idx="7">
                  <c:v>154</c:v>
                </c:pt>
                <c:pt idx="8">
                  <c:v>203</c:v>
                </c:pt>
                <c:pt idx="9">
                  <c:v>204</c:v>
                </c:pt>
                <c:pt idx="10">
                  <c:v>253</c:v>
                </c:pt>
                <c:pt idx="11">
                  <c:v>254</c:v>
                </c:pt>
                <c:pt idx="12">
                  <c:v>303</c:v>
                </c:pt>
                <c:pt idx="13">
                  <c:v>304</c:v>
                </c:pt>
              </c:numCache>
            </c:numRef>
          </c:xVal>
          <c:yVal>
            <c:numRef>
              <c:f>'Tab1'!$AA$41:$AA$54</c:f>
              <c:numCache>
                <c:formatCode>0.00</c:formatCode>
                <c:ptCount val="14"/>
                <c:pt idx="0">
                  <c:v>-0.66937103347564086</c:v>
                </c:pt>
                <c:pt idx="1">
                  <c:v>-1.4229440794195636</c:v>
                </c:pt>
                <c:pt idx="2">
                  <c:v>-0.89556618895014761</c:v>
                </c:pt>
                <c:pt idx="3">
                  <c:v>-1.4727235222906643</c:v>
                </c:pt>
                <c:pt idx="4">
                  <c:v>-0.60489195729362955</c:v>
                </c:pt>
                <c:pt idx="5">
                  <c:v>-1.3864231411288008</c:v>
                </c:pt>
                <c:pt idx="6">
                  <c:v>-1.2644962861817488</c:v>
                </c:pt>
                <c:pt idx="7">
                  <c:v>-0.50120058712388449</c:v>
                </c:pt>
                <c:pt idx="8">
                  <c:v>-0.97842417426385886</c:v>
                </c:pt>
                <c:pt idx="9">
                  <c:v>-1.8985755434909324</c:v>
                </c:pt>
                <c:pt idx="10">
                  <c:v>-0.65526476827848512</c:v>
                </c:pt>
                <c:pt idx="11">
                  <c:v>-1.0221542612761647</c:v>
                </c:pt>
                <c:pt idx="12">
                  <c:v>-1.0016877089539244</c:v>
                </c:pt>
                <c:pt idx="13">
                  <c:v>-1.2466247906471883</c:v>
                </c:pt>
              </c:numCache>
            </c:numRef>
          </c:yVal>
          <c:smooth val="0"/>
          <c:extLst>
            <c:ext xmlns:c16="http://schemas.microsoft.com/office/drawing/2014/chart" uri="{C3380CC4-5D6E-409C-BE32-E72D297353CC}">
              <c16:uniqueId val="{00000000-9E6C-43B5-8D83-3285EDBE9F1B}"/>
            </c:ext>
          </c:extLst>
        </c:ser>
        <c:dLbls>
          <c:showLegendKey val="0"/>
          <c:showVal val="0"/>
          <c:showCatName val="0"/>
          <c:showSerName val="0"/>
          <c:showPercent val="0"/>
          <c:showBubbleSize val="0"/>
        </c:dLbls>
        <c:axId val="1789963536"/>
        <c:axId val="1789953136"/>
      </c:scatterChart>
      <c:valAx>
        <c:axId val="178996353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89953136"/>
        <c:crosses val="autoZero"/>
        <c:crossBetween val="midCat"/>
      </c:valAx>
      <c:valAx>
        <c:axId val="178995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89963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errBars>
            <c:errDir val="y"/>
            <c:errBarType val="both"/>
            <c:errValType val="cust"/>
            <c:noEndCap val="0"/>
            <c:plus>
              <c:numRef>
                <c:f>'Tab1'!$AB$82:$AB$95</c:f>
                <c:numCache>
                  <c:formatCode>General</c:formatCode>
                  <c:ptCount val="14"/>
                  <c:pt idx="0">
                    <c:v>0.3899857813275398</c:v>
                  </c:pt>
                  <c:pt idx="1">
                    <c:v>0.36165837145341051</c:v>
                  </c:pt>
                  <c:pt idx="2">
                    <c:v>0.40638210487820015</c:v>
                  </c:pt>
                  <c:pt idx="3">
                    <c:v>0.38475322549669233</c:v>
                  </c:pt>
                  <c:pt idx="4">
                    <c:v>0.41673951338483395</c:v>
                  </c:pt>
                  <c:pt idx="5">
                    <c:v>0.46787623961364044</c:v>
                  </c:pt>
                  <c:pt idx="6">
                    <c:v>0.36910129092782018</c:v>
                  </c:pt>
                  <c:pt idx="7">
                    <c:v>0.27669622399639771</c:v>
                  </c:pt>
                  <c:pt idx="8">
                    <c:v>0.52980077138220505</c:v>
                  </c:pt>
                  <c:pt idx="9">
                    <c:v>0.48009146215888254</c:v>
                  </c:pt>
                  <c:pt idx="10">
                    <c:v>0.39224739447818457</c:v>
                  </c:pt>
                  <c:pt idx="11">
                    <c:v>0.49971001302229201</c:v>
                  </c:pt>
                  <c:pt idx="12">
                    <c:v>0.44687367759321805</c:v>
                  </c:pt>
                  <c:pt idx="13">
                    <c:v>0.41537929107415827</c:v>
                  </c:pt>
                </c:numCache>
              </c:numRef>
            </c:plus>
            <c:minus>
              <c:numRef>
                <c:f>'Tab1'!$AB$82:$AB$95</c:f>
                <c:numCache>
                  <c:formatCode>General</c:formatCode>
                  <c:ptCount val="14"/>
                  <c:pt idx="0">
                    <c:v>0.3899857813275398</c:v>
                  </c:pt>
                  <c:pt idx="1">
                    <c:v>0.36165837145341051</c:v>
                  </c:pt>
                  <c:pt idx="2">
                    <c:v>0.40638210487820015</c:v>
                  </c:pt>
                  <c:pt idx="3">
                    <c:v>0.38475322549669233</c:v>
                  </c:pt>
                  <c:pt idx="4">
                    <c:v>0.41673951338483395</c:v>
                  </c:pt>
                  <c:pt idx="5">
                    <c:v>0.46787623961364044</c:v>
                  </c:pt>
                  <c:pt idx="6">
                    <c:v>0.36910129092782018</c:v>
                  </c:pt>
                  <c:pt idx="7">
                    <c:v>0.27669622399639771</c:v>
                  </c:pt>
                  <c:pt idx="8">
                    <c:v>0.52980077138220505</c:v>
                  </c:pt>
                  <c:pt idx="9">
                    <c:v>0.48009146215888254</c:v>
                  </c:pt>
                  <c:pt idx="10">
                    <c:v>0.39224739447818457</c:v>
                  </c:pt>
                  <c:pt idx="11">
                    <c:v>0.49971001302229201</c:v>
                  </c:pt>
                  <c:pt idx="12">
                    <c:v>0.44687367759321805</c:v>
                  </c:pt>
                  <c:pt idx="13">
                    <c:v>0.41537929107415827</c:v>
                  </c:pt>
                </c:numCache>
              </c:numRef>
            </c:minus>
            <c:spPr>
              <a:noFill/>
              <a:ln w="9525" cap="flat" cmpd="sng" algn="ctr">
                <a:solidFill>
                  <a:schemeClr val="tx1">
                    <a:lumMod val="65000"/>
                    <a:lumOff val="35000"/>
                  </a:schemeClr>
                </a:solidFill>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'Tab1'!$W$82:$W$95</c:f>
              <c:numCache>
                <c:formatCode>0</c:formatCode>
                <c:ptCount val="14"/>
                <c:pt idx="0">
                  <c:v>7</c:v>
                </c:pt>
                <c:pt idx="1">
                  <c:v>8</c:v>
                </c:pt>
                <c:pt idx="2">
                  <c:v>57</c:v>
                </c:pt>
                <c:pt idx="3">
                  <c:v>58</c:v>
                </c:pt>
                <c:pt idx="4">
                  <c:v>107</c:v>
                </c:pt>
                <c:pt idx="5">
                  <c:v>108</c:v>
                </c:pt>
                <c:pt idx="6">
                  <c:v>157</c:v>
                </c:pt>
                <c:pt idx="7">
                  <c:v>158</c:v>
                </c:pt>
                <c:pt idx="8">
                  <c:v>207</c:v>
                </c:pt>
                <c:pt idx="9">
                  <c:v>208</c:v>
                </c:pt>
                <c:pt idx="10">
                  <c:v>257</c:v>
                </c:pt>
                <c:pt idx="11">
                  <c:v>258</c:v>
                </c:pt>
                <c:pt idx="12">
                  <c:v>307</c:v>
                </c:pt>
                <c:pt idx="13">
                  <c:v>308</c:v>
                </c:pt>
              </c:numCache>
            </c:numRef>
          </c:xVal>
          <c:yVal>
            <c:numRef>
              <c:f>'Tab1'!$AA$82:$AA$95</c:f>
              <c:numCache>
                <c:formatCode>0.00</c:formatCode>
                <c:ptCount val="14"/>
                <c:pt idx="0">
                  <c:v>-4.6767981653419444</c:v>
                </c:pt>
                <c:pt idx="1">
                  <c:v>-5.6083369509828396</c:v>
                </c:pt>
                <c:pt idx="2">
                  <c:v>-4.8981887150576497</c:v>
                </c:pt>
                <c:pt idx="3">
                  <c:v>-6.2265289117181544</c:v>
                </c:pt>
                <c:pt idx="4">
                  <c:v>-3.9898135200886475</c:v>
                </c:pt>
                <c:pt idx="5">
                  <c:v>-5.1162608204942117</c:v>
                </c:pt>
                <c:pt idx="6">
                  <c:v>-3.7319777799869058</c:v>
                </c:pt>
                <c:pt idx="7">
                  <c:v>-4.9076701594674699</c:v>
                </c:pt>
                <c:pt idx="8">
                  <c:v>-3.7554045007804904</c:v>
                </c:pt>
                <c:pt idx="9">
                  <c:v>-4.5589526819912463</c:v>
                </c:pt>
                <c:pt idx="10">
                  <c:v>-1.6522356710343411</c:v>
                </c:pt>
                <c:pt idx="11">
                  <c:v>-4.5343997894697896</c:v>
                </c:pt>
                <c:pt idx="12">
                  <c:v>-2.8594764159993735</c:v>
                </c:pt>
                <c:pt idx="13">
                  <c:v>-3.9288981734776351</c:v>
                </c:pt>
              </c:numCache>
            </c:numRef>
          </c:yVal>
          <c:smooth val="0"/>
          <c:extLst>
            <c:ext xmlns:c16="http://schemas.microsoft.com/office/drawing/2014/chart" uri="{C3380CC4-5D6E-409C-BE32-E72D297353CC}">
              <c16:uniqueId val="{00000000-E4ED-4EE5-BCE6-0B2A57C5B41D}"/>
            </c:ext>
          </c:extLst>
        </c:ser>
        <c:dLbls>
          <c:showLegendKey val="0"/>
          <c:showVal val="0"/>
          <c:showCatName val="0"/>
          <c:showSerName val="0"/>
          <c:showPercent val="0"/>
          <c:showBubbleSize val="0"/>
        </c:dLbls>
        <c:axId val="1867114351"/>
        <c:axId val="1867111023"/>
      </c:scatterChart>
      <c:valAx>
        <c:axId val="186711435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867111023"/>
        <c:crosses val="autoZero"/>
        <c:crossBetween val="midCat"/>
      </c:valAx>
      <c:valAx>
        <c:axId val="18671110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867114351"/>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'Tab1'!$W$3:$W$16</c:f>
              <c:numCache>
                <c:formatCode>0</c:formatCode>
                <c:ptCount val="14"/>
                <c:pt idx="0">
                  <c:v>1</c:v>
                </c:pt>
                <c:pt idx="1">
                  <c:v>2</c:v>
                </c:pt>
                <c:pt idx="2">
                  <c:v>51</c:v>
                </c:pt>
                <c:pt idx="3">
                  <c:v>52</c:v>
                </c:pt>
                <c:pt idx="4">
                  <c:v>101</c:v>
                </c:pt>
                <c:pt idx="5">
                  <c:v>102</c:v>
                </c:pt>
                <c:pt idx="6">
                  <c:v>151</c:v>
                </c:pt>
                <c:pt idx="7">
                  <c:v>152</c:v>
                </c:pt>
                <c:pt idx="8">
                  <c:v>201</c:v>
                </c:pt>
                <c:pt idx="9">
                  <c:v>202</c:v>
                </c:pt>
                <c:pt idx="10">
                  <c:v>251</c:v>
                </c:pt>
                <c:pt idx="11">
                  <c:v>252</c:v>
                </c:pt>
                <c:pt idx="12">
                  <c:v>301</c:v>
                </c:pt>
                <c:pt idx="13">
                  <c:v>302</c:v>
                </c:pt>
              </c:numCache>
            </c:numRef>
          </c:xVal>
          <c:yVal>
            <c:numRef>
              <c:f>'Tab1'!$AA$3:$AA$16</c:f>
              <c:numCache>
                <c:formatCode>0.00</c:formatCode>
                <c:ptCount val="14"/>
                <c:pt idx="0">
                  <c:v>-0.7392647576344169</c:v>
                </c:pt>
                <c:pt idx="1">
                  <c:v>-0.20411304215206538</c:v>
                </c:pt>
                <c:pt idx="2">
                  <c:v>-1.2645689097493529</c:v>
                </c:pt>
                <c:pt idx="3">
                  <c:v>-0.62887955265489293</c:v>
                </c:pt>
                <c:pt idx="4">
                  <c:v>-1.0621675586666157</c:v>
                </c:pt>
                <c:pt idx="5">
                  <c:v>-0.95304782952565503</c:v>
                </c:pt>
                <c:pt idx="6">
                  <c:v>-0.89431557363850445</c:v>
                </c:pt>
                <c:pt idx="7">
                  <c:v>-0.57916680222003247</c:v>
                </c:pt>
                <c:pt idx="8">
                  <c:v>-1.1549381426287919</c:v>
                </c:pt>
                <c:pt idx="9">
                  <c:v>-1.1833300366629329</c:v>
                </c:pt>
                <c:pt idx="10">
                  <c:v>-0.69773239756532046</c:v>
                </c:pt>
                <c:pt idx="11">
                  <c:v>-0.71057294573706464</c:v>
                </c:pt>
                <c:pt idx="12">
                  <c:v>-1.6917466464447806</c:v>
                </c:pt>
                <c:pt idx="13">
                  <c:v>-1.7509761339589147</c:v>
                </c:pt>
              </c:numCache>
            </c:numRef>
          </c:yVal>
          <c:smooth val="0"/>
          <c:extLst>
            <c:ext xmlns:c16="http://schemas.microsoft.com/office/drawing/2014/chart" uri="{C3380CC4-5D6E-409C-BE32-E72D297353CC}">
              <c16:uniqueId val="{00000000-4901-491D-8E16-B6437E1DBFAE}"/>
            </c:ext>
          </c:extLst>
        </c:ser>
        <c:dLbls>
          <c:showLegendKey val="0"/>
          <c:showVal val="0"/>
          <c:showCatName val="0"/>
          <c:showSerName val="0"/>
          <c:showPercent val="0"/>
          <c:showBubbleSize val="0"/>
        </c:dLbls>
        <c:axId val="762324784"/>
        <c:axId val="762326448"/>
      </c:scatterChart>
      <c:valAx>
        <c:axId val="7623247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62326448"/>
        <c:crosses val="autoZero"/>
        <c:crossBetween val="midCat"/>
      </c:valAx>
      <c:valAx>
        <c:axId val="76232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623247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errBars>
            <c:errDir val="y"/>
            <c:errBarType val="both"/>
            <c:errValType val="cust"/>
            <c:noEndCap val="0"/>
            <c:plus>
              <c:numRef>
                <c:f>'Tab1'!$AB$62:$AB$75</c:f>
                <c:numCache>
                  <c:formatCode>General</c:formatCode>
                  <c:ptCount val="14"/>
                  <c:pt idx="0">
                    <c:v>0.1539728396221518</c:v>
                  </c:pt>
                  <c:pt idx="1">
                    <c:v>0.2246913647915294</c:v>
                  </c:pt>
                  <c:pt idx="2">
                    <c:v>0.15686595690178606</c:v>
                  </c:pt>
                  <c:pt idx="3">
                    <c:v>0.20214497931825282</c:v>
                  </c:pt>
                  <c:pt idx="4">
                    <c:v>0.1743271086855902</c:v>
                  </c:pt>
                  <c:pt idx="5">
                    <c:v>0.21628206301294028</c:v>
                  </c:pt>
                  <c:pt idx="6">
                    <c:v>0.17807598241137423</c:v>
                  </c:pt>
                  <c:pt idx="7">
                    <c:v>0.16579080761769394</c:v>
                  </c:pt>
                  <c:pt idx="8">
                    <c:v>0.1723189422749849</c:v>
                  </c:pt>
                  <c:pt idx="9">
                    <c:v>0.1812545572148494</c:v>
                  </c:pt>
                  <c:pt idx="10">
                    <c:v>0.17308919779068788</c:v>
                  </c:pt>
                  <c:pt idx="11">
                    <c:v>0.16695344717665428</c:v>
                  </c:pt>
                  <c:pt idx="12">
                    <c:v>0.2132040626789955</c:v>
                  </c:pt>
                  <c:pt idx="13">
                    <c:v>0.1748842132544004</c:v>
                  </c:pt>
                </c:numCache>
              </c:numRef>
            </c:plus>
            <c:minus>
              <c:numRef>
                <c:f>'Tab1'!$AB$62:$AB$75</c:f>
                <c:numCache>
                  <c:formatCode>General</c:formatCode>
                  <c:ptCount val="14"/>
                  <c:pt idx="0">
                    <c:v>0.1539728396221518</c:v>
                  </c:pt>
                  <c:pt idx="1">
                    <c:v>0.2246913647915294</c:v>
                  </c:pt>
                  <c:pt idx="2">
                    <c:v>0.15686595690178606</c:v>
                  </c:pt>
                  <c:pt idx="3">
                    <c:v>0.20214497931825282</c:v>
                  </c:pt>
                  <c:pt idx="4">
                    <c:v>0.1743271086855902</c:v>
                  </c:pt>
                  <c:pt idx="5">
                    <c:v>0.21628206301294028</c:v>
                  </c:pt>
                  <c:pt idx="6">
                    <c:v>0.17807598241137423</c:v>
                  </c:pt>
                  <c:pt idx="7">
                    <c:v>0.16579080761769394</c:v>
                  </c:pt>
                  <c:pt idx="8">
                    <c:v>0.1723189422749849</c:v>
                  </c:pt>
                  <c:pt idx="9">
                    <c:v>0.1812545572148494</c:v>
                  </c:pt>
                  <c:pt idx="10">
                    <c:v>0.17308919779068788</c:v>
                  </c:pt>
                  <c:pt idx="11">
                    <c:v>0.16695344717665428</c:v>
                  </c:pt>
                  <c:pt idx="12">
                    <c:v>0.2132040626789955</c:v>
                  </c:pt>
                  <c:pt idx="13">
                    <c:v>0.1748842132544004</c:v>
                  </c:pt>
                </c:numCache>
              </c:numRef>
            </c:minus>
            <c:spPr>
              <a:noFill/>
              <a:ln w="9525" cap="flat" cmpd="sng" algn="ctr">
                <a:solidFill>
                  <a:schemeClr val="tx1">
                    <a:lumMod val="65000"/>
                    <a:lumOff val="35000"/>
                  </a:schemeClr>
                </a:solidFill>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'Tab1'!$W$62:$W$75</c:f>
              <c:numCache>
                <c:formatCode>0</c:formatCode>
                <c:ptCount val="14"/>
                <c:pt idx="0">
                  <c:v>5</c:v>
                </c:pt>
                <c:pt idx="1">
                  <c:v>6</c:v>
                </c:pt>
                <c:pt idx="2">
                  <c:v>55</c:v>
                </c:pt>
                <c:pt idx="3">
                  <c:v>56</c:v>
                </c:pt>
                <c:pt idx="4">
                  <c:v>105</c:v>
                </c:pt>
                <c:pt idx="5">
                  <c:v>106</c:v>
                </c:pt>
                <c:pt idx="6">
                  <c:v>155</c:v>
                </c:pt>
                <c:pt idx="7">
                  <c:v>156</c:v>
                </c:pt>
                <c:pt idx="8">
                  <c:v>205</c:v>
                </c:pt>
                <c:pt idx="9">
                  <c:v>206</c:v>
                </c:pt>
                <c:pt idx="10">
                  <c:v>255</c:v>
                </c:pt>
                <c:pt idx="11">
                  <c:v>256</c:v>
                </c:pt>
                <c:pt idx="12">
                  <c:v>305</c:v>
                </c:pt>
                <c:pt idx="13">
                  <c:v>306</c:v>
                </c:pt>
              </c:numCache>
            </c:numRef>
          </c:xVal>
          <c:yVal>
            <c:numRef>
              <c:f>'Tab1'!$AA$62:$AA$75</c:f>
              <c:numCache>
                <c:formatCode>0.00</c:formatCode>
                <c:ptCount val="14"/>
                <c:pt idx="0">
                  <c:v>-6.1923554437505191</c:v>
                </c:pt>
                <c:pt idx="1">
                  <c:v>-5.7085377879487753</c:v>
                </c:pt>
                <c:pt idx="2">
                  <c:v>-5.2820877785023646</c:v>
                </c:pt>
                <c:pt idx="3">
                  <c:v>-5.6679939725851058</c:v>
                </c:pt>
                <c:pt idx="4">
                  <c:v>-5.2533113452305491</c:v>
                </c:pt>
                <c:pt idx="5">
                  <c:v>-5.0632802574557267</c:v>
                </c:pt>
                <c:pt idx="6">
                  <c:v>-4.5665192977637492</c:v>
                </c:pt>
                <c:pt idx="7">
                  <c:v>-4.30108118291328</c:v>
                </c:pt>
                <c:pt idx="8">
                  <c:v>-4.3301890229605622</c:v>
                </c:pt>
                <c:pt idx="9">
                  <c:v>-4.3577048269639596</c:v>
                </c:pt>
                <c:pt idx="10">
                  <c:v>-4.451720089202027</c:v>
                </c:pt>
                <c:pt idx="11">
                  <c:v>-3.5607028364080806</c:v>
                </c:pt>
                <c:pt idx="12">
                  <c:v>-3.7327731201431957</c:v>
                </c:pt>
                <c:pt idx="13">
                  <c:v>-3.5290259506549626</c:v>
                </c:pt>
              </c:numCache>
            </c:numRef>
          </c:yVal>
          <c:smooth val="0"/>
          <c:extLst>
            <c:ext xmlns:c16="http://schemas.microsoft.com/office/drawing/2014/chart" uri="{C3380CC4-5D6E-409C-BE32-E72D297353CC}">
              <c16:uniqueId val="{00000000-3634-47E5-97D3-701F9745D561}"/>
            </c:ext>
          </c:extLst>
        </c:ser>
        <c:dLbls>
          <c:showLegendKey val="0"/>
          <c:showVal val="0"/>
          <c:showCatName val="0"/>
          <c:showSerName val="0"/>
          <c:showPercent val="0"/>
          <c:showBubbleSize val="0"/>
        </c:dLbls>
        <c:axId val="1789963536"/>
        <c:axId val="1789953136"/>
      </c:scatterChart>
      <c:valAx>
        <c:axId val="178996353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89953136"/>
        <c:crosses val="autoZero"/>
        <c:crossBetween val="midCat"/>
      </c:valAx>
      <c:valAx>
        <c:axId val="178995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89963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1"/>
          <c:order val="0"/>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3"/>
            <c:dispRSqr val="0"/>
            <c:dispEq val="0"/>
          </c:trendline>
          <c:xVal>
            <c:numRef>
              <c:f>'Tab1'!$W$3:$W$16</c:f>
              <c:numCache>
                <c:formatCode>0</c:formatCode>
                <c:ptCount val="14"/>
                <c:pt idx="0">
                  <c:v>1</c:v>
                </c:pt>
                <c:pt idx="1">
                  <c:v>2</c:v>
                </c:pt>
                <c:pt idx="2">
                  <c:v>51</c:v>
                </c:pt>
                <c:pt idx="3">
                  <c:v>52</c:v>
                </c:pt>
                <c:pt idx="4">
                  <c:v>101</c:v>
                </c:pt>
                <c:pt idx="5">
                  <c:v>102</c:v>
                </c:pt>
                <c:pt idx="6">
                  <c:v>151</c:v>
                </c:pt>
                <c:pt idx="7">
                  <c:v>152</c:v>
                </c:pt>
                <c:pt idx="8">
                  <c:v>201</c:v>
                </c:pt>
                <c:pt idx="9">
                  <c:v>202</c:v>
                </c:pt>
                <c:pt idx="10">
                  <c:v>251</c:v>
                </c:pt>
                <c:pt idx="11">
                  <c:v>252</c:v>
                </c:pt>
                <c:pt idx="12">
                  <c:v>301</c:v>
                </c:pt>
                <c:pt idx="13">
                  <c:v>302</c:v>
                </c:pt>
              </c:numCache>
            </c:numRef>
          </c:xVal>
          <c:yVal>
            <c:numRef>
              <c:f>'Tab1'!$AA$3:$AA$16</c:f>
              <c:numCache>
                <c:formatCode>0.00</c:formatCode>
                <c:ptCount val="14"/>
                <c:pt idx="0">
                  <c:v>-0.7392647576344169</c:v>
                </c:pt>
                <c:pt idx="1">
                  <c:v>-0.20411304215206538</c:v>
                </c:pt>
                <c:pt idx="2">
                  <c:v>-1.2645689097493529</c:v>
                </c:pt>
                <c:pt idx="3">
                  <c:v>-0.62887955265489293</c:v>
                </c:pt>
                <c:pt idx="4">
                  <c:v>-1.0621675586666157</c:v>
                </c:pt>
                <c:pt idx="5">
                  <c:v>-0.95304782952565503</c:v>
                </c:pt>
                <c:pt idx="6">
                  <c:v>-0.89431557363850445</c:v>
                </c:pt>
                <c:pt idx="7">
                  <c:v>-0.57916680222003247</c:v>
                </c:pt>
                <c:pt idx="8">
                  <c:v>-1.1549381426287919</c:v>
                </c:pt>
                <c:pt idx="9">
                  <c:v>-1.1833300366629329</c:v>
                </c:pt>
                <c:pt idx="10">
                  <c:v>-0.69773239756532046</c:v>
                </c:pt>
                <c:pt idx="11">
                  <c:v>-0.71057294573706464</c:v>
                </c:pt>
                <c:pt idx="12">
                  <c:v>-1.6917466464447806</c:v>
                </c:pt>
                <c:pt idx="13">
                  <c:v>-1.7509761339589147</c:v>
                </c:pt>
              </c:numCache>
            </c:numRef>
          </c:yVal>
          <c:smooth val="0"/>
          <c:extLst>
            <c:ext xmlns:c16="http://schemas.microsoft.com/office/drawing/2014/chart" uri="{C3380CC4-5D6E-409C-BE32-E72D297353CC}">
              <c16:uniqueId val="{00000001-1C1D-43E3-AD4A-5E9C291A0994}"/>
            </c:ext>
          </c:extLst>
        </c:ser>
        <c:dLbls>
          <c:showLegendKey val="0"/>
          <c:showVal val="0"/>
          <c:showCatName val="0"/>
          <c:showSerName val="0"/>
          <c:showPercent val="0"/>
          <c:showBubbleSize val="0"/>
        </c:dLbls>
        <c:axId val="1781364591"/>
        <c:axId val="1781372911"/>
      </c:scatterChart>
      <c:valAx>
        <c:axId val="178136459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81372911"/>
        <c:crosses val="autoZero"/>
        <c:crossBetween val="midCat"/>
      </c:valAx>
      <c:valAx>
        <c:axId val="17813729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81364591"/>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'Tab1'!$Q$212:$Q$223</c:f>
              <c:numCache>
                <c:formatCode>0</c:formatCode>
                <c:ptCount val="12"/>
                <c:pt idx="0">
                  <c:v>5689546.7566165058</c:v>
                </c:pt>
                <c:pt idx="1">
                  <c:v>4020633.8911642199</c:v>
                </c:pt>
                <c:pt idx="2">
                  <c:v>7519998.9160528034</c:v>
                </c:pt>
                <c:pt idx="3">
                  <c:v>5835179.3776296237</c:v>
                </c:pt>
                <c:pt idx="4">
                  <c:v>7802032.4173249174</c:v>
                </c:pt>
                <c:pt idx="5">
                  <c:v>4965169.4313732209</c:v>
                </c:pt>
                <c:pt idx="6">
                  <c:v>1903539.0242038679</c:v>
                </c:pt>
                <c:pt idx="7">
                  <c:v>1724731.0759420402</c:v>
                </c:pt>
                <c:pt idx="8">
                  <c:v>1889882.1166906666</c:v>
                </c:pt>
                <c:pt idx="9">
                  <c:v>2297924.7937464402</c:v>
                </c:pt>
                <c:pt idx="10">
                  <c:v>1862151.6354068478</c:v>
                </c:pt>
                <c:pt idx="11">
                  <c:v>2043234.2302953913</c:v>
                </c:pt>
              </c:numCache>
            </c:numRef>
          </c:xVal>
          <c:yVal>
            <c:numRef>
              <c:f>'Tab1'!$AA$212:$AA$223</c:f>
              <c:numCache>
                <c:formatCode>0.00</c:formatCode>
                <c:ptCount val="12"/>
                <c:pt idx="0">
                  <c:v>6.7069314885845888</c:v>
                </c:pt>
                <c:pt idx="1">
                  <c:v>6.6092095968852682</c:v>
                </c:pt>
                <c:pt idx="2">
                  <c:v>6.6403096813802964</c:v>
                </c:pt>
                <c:pt idx="3">
                  <c:v>8.1225750174647171</c:v>
                </c:pt>
                <c:pt idx="4">
                  <c:v>10.77408147354908</c:v>
                </c:pt>
                <c:pt idx="5">
                  <c:v>7.1030269517191602</c:v>
                </c:pt>
                <c:pt idx="6">
                  <c:v>-10.670373653504539</c:v>
                </c:pt>
                <c:pt idx="7">
                  <c:v>-11.705395112205697</c:v>
                </c:pt>
                <c:pt idx="8">
                  <c:v>-14.669770615132416</c:v>
                </c:pt>
                <c:pt idx="9">
                  <c:v>-12.516855892700129</c:v>
                </c:pt>
                <c:pt idx="10">
                  <c:v>-13.537964461631248</c:v>
                </c:pt>
                <c:pt idx="11">
                  <c:v>-13.841974547373237</c:v>
                </c:pt>
              </c:numCache>
            </c:numRef>
          </c:yVal>
          <c:smooth val="0"/>
          <c:extLst>
            <c:ext xmlns:c16="http://schemas.microsoft.com/office/drawing/2014/chart" uri="{C3380CC4-5D6E-409C-BE32-E72D297353CC}">
              <c16:uniqueId val="{00000000-1751-428A-B58B-0457A8BC2F27}"/>
            </c:ext>
          </c:extLst>
        </c:ser>
        <c:dLbls>
          <c:showLegendKey val="0"/>
          <c:showVal val="0"/>
          <c:showCatName val="0"/>
          <c:showSerName val="0"/>
          <c:showPercent val="0"/>
          <c:showBubbleSize val="0"/>
        </c:dLbls>
        <c:axId val="1469411071"/>
        <c:axId val="1469412319"/>
      </c:scatterChart>
      <c:valAx>
        <c:axId val="146941107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69412319"/>
        <c:crosses val="autoZero"/>
        <c:crossBetween val="midCat"/>
      </c:valAx>
      <c:valAx>
        <c:axId val="146941231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69411071"/>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162634429324752E-2"/>
          <c:y val="3.418587911502402E-2"/>
          <c:w val="0.86814470671331867"/>
          <c:h val="0.85245222478026239"/>
        </c:manualLayout>
      </c:layout>
      <c:scatterChart>
        <c:scatterStyle val="lineMarker"/>
        <c:varyColors val="0"/>
        <c:ser>
          <c:idx val="2"/>
          <c:order val="0"/>
          <c:spPr>
            <a:ln w="28575">
              <a:noFill/>
            </a:ln>
          </c:spPr>
          <c:marker>
            <c:symbol val="diamond"/>
            <c:size val="10"/>
            <c:spPr>
              <a:solidFill>
                <a:srgbClr val="FFC000"/>
              </a:solidFill>
              <a:ln>
                <a:solidFill>
                  <a:sysClr val="windowText" lastClr="000000"/>
                </a:solidFill>
              </a:ln>
            </c:spPr>
          </c:marker>
          <c:xVal>
            <c:strRef>
              <c:f>calc!$N$3:$N$100</c:f>
              <c:strCache>
                <c:ptCount val="96"/>
                <c:pt idx="0">
                  <c:v>0.4</c:v>
                </c:pt>
                <c:pt idx="1">
                  <c:v>0.5</c:v>
                </c:pt>
                <c:pt idx="2">
                  <c:v>0.5</c:v>
                </c:pt>
                <c:pt idx="3">
                  <c:v>0.6</c:v>
                </c:pt>
                <c:pt idx="4">
                  <c:v>0.7</c:v>
                </c:pt>
                <c:pt idx="5">
                  <c:v>0.7</c:v>
                </c:pt>
                <c:pt idx="6">
                  <c:v>0.8</c:v>
                </c:pt>
                <c:pt idx="7">
                  <c:v>0.9</c:v>
                </c:pt>
                <c:pt idx="8">
                  <c:v>1.0</c:v>
                </c:pt>
                <c:pt idx="9">
                  <c:v>1.0</c:v>
                </c:pt>
                <c:pt idx="10">
                  <c:v>1.1</c:v>
                </c:pt>
                <c:pt idx="11">
                  <c:v>1.2</c:v>
                </c:pt>
                <c:pt idx="12">
                  <c:v>1.2</c:v>
                </c:pt>
                <c:pt idx="13">
                  <c:v>1.3</c:v>
                </c:pt>
                <c:pt idx="14">
                  <c:v>1.4</c:v>
                </c:pt>
                <c:pt idx="15">
                  <c:v>1.4</c:v>
                </c:pt>
                <c:pt idx="16">
                  <c:v>1.5</c:v>
                </c:pt>
                <c:pt idx="17">
                  <c:v>1.6</c:v>
                </c:pt>
                <c:pt idx="18">
                  <c:v>1.6</c:v>
                </c:pt>
                <c:pt idx="19">
                  <c:v>1.7</c:v>
                </c:pt>
                <c:pt idx="20">
                  <c:v>1.8</c:v>
                </c:pt>
                <c:pt idx="21">
                  <c:v>1.8</c:v>
                </c:pt>
                <c:pt idx="22">
                  <c:v>1.9</c:v>
                </c:pt>
                <c:pt idx="23">
                  <c:v>2.0</c:v>
                </c:pt>
                <c:pt idx="24">
                  <c:v>2.0</c:v>
                </c:pt>
                <c:pt idx="25">
                  <c:v>2.1</c:v>
                </c:pt>
                <c:pt idx="26">
                  <c:v>2.2</c:v>
                </c:pt>
                <c:pt idx="27">
                  <c:v>2.2</c:v>
                </c:pt>
                <c:pt idx="28">
                  <c:v>2.3</c:v>
                </c:pt>
                <c:pt idx="29">
                  <c:v>2.4</c:v>
                </c:pt>
                <c:pt idx="30">
                  <c:v>2.5</c:v>
                </c:pt>
                <c:pt idx="31">
                  <c:v>2.5</c:v>
                </c:pt>
                <c:pt idx="32">
                  <c:v>2.6</c:v>
                </c:pt>
                <c:pt idx="33">
                  <c:v>2.7</c:v>
                </c:pt>
                <c:pt idx="34">
                  <c:v>2.7</c:v>
                </c:pt>
                <c:pt idx="35">
                  <c:v>2.8</c:v>
                </c:pt>
                <c:pt idx="36">
                  <c:v>2.9</c:v>
                </c:pt>
                <c:pt idx="37">
                  <c:v>2.9</c:v>
                </c:pt>
                <c:pt idx="38">
                  <c:v>3.0</c:v>
                </c:pt>
                <c:pt idx="39">
                  <c:v>3.1</c:v>
                </c:pt>
                <c:pt idx="40">
                  <c:v>3.1</c:v>
                </c:pt>
                <c:pt idx="41">
                  <c:v>3.2</c:v>
                </c:pt>
                <c:pt idx="42">
                  <c:v>3.3</c:v>
                </c:pt>
                <c:pt idx="43">
                  <c:v>3.3</c:v>
                </c:pt>
                <c:pt idx="44">
                  <c:v>3.4</c:v>
                </c:pt>
                <c:pt idx="45">
                  <c:v>3.5</c:v>
                </c:pt>
                <c:pt idx="46">
                  <c:v>3.5</c:v>
                </c:pt>
                <c:pt idx="47">
                  <c:v>3.6</c:v>
                </c:pt>
                <c:pt idx="48">
                  <c:v>3.7</c:v>
                </c:pt>
                <c:pt idx="49">
                  <c:v>3.7</c:v>
                </c:pt>
                <c:pt idx="50">
                  <c:v>3.8</c:v>
                </c:pt>
                <c:pt idx="51">
                  <c:v>3.9</c:v>
                </c:pt>
                <c:pt idx="52">
                  <c:v>3.9</c:v>
                </c:pt>
                <c:pt idx="53">
                  <c:v>4.0</c:v>
                </c:pt>
                <c:pt idx="54">
                  <c:v>4.1</c:v>
                </c:pt>
                <c:pt idx="55">
                  <c:v>4.2</c:v>
                </c:pt>
                <c:pt idx="56">
                  <c:v>4.2</c:v>
                </c:pt>
                <c:pt idx="57">
                  <c:v>4.3</c:v>
                </c:pt>
                <c:pt idx="58">
                  <c:v>4.4</c:v>
                </c:pt>
                <c:pt idx="59">
                  <c:v>4.4</c:v>
                </c:pt>
                <c:pt idx="60">
                  <c:v>4.5</c:v>
                </c:pt>
                <c:pt idx="61">
                  <c:v>4.6</c:v>
                </c:pt>
                <c:pt idx="62">
                  <c:v>4.6</c:v>
                </c:pt>
                <c:pt idx="63">
                  <c:v>4.7</c:v>
                </c:pt>
                <c:pt idx="64">
                  <c:v>4.8</c:v>
                </c:pt>
                <c:pt idx="65">
                  <c:v>4.8</c:v>
                </c:pt>
                <c:pt idx="66">
                  <c:v>4.9</c:v>
                </c:pt>
                <c:pt idx="67">
                  <c:v>5.0</c:v>
                </c:pt>
                <c:pt idx="68">
                  <c:v>5.0</c:v>
                </c:pt>
                <c:pt idx="69">
                  <c:v>5.1</c:v>
                </c:pt>
                <c:pt idx="70">
                  <c:v>5.2</c:v>
                </c:pt>
                <c:pt idx="71">
                  <c:v>5.2</c:v>
                </c:pt>
                <c:pt idx="72">
                  <c:v>5.3</c:v>
                </c:pt>
                <c:pt idx="73">
                  <c:v>5.4</c:v>
                </c:pt>
                <c:pt idx="74">
                  <c:v>5.4</c:v>
                </c:pt>
                <c:pt idx="75">
                  <c:v>5.5</c:v>
                </c:pt>
                <c:pt idx="76">
                  <c:v>5.6</c:v>
                </c:pt>
                <c:pt idx="77">
                  <c:v>5.6</c:v>
                </c:pt>
                <c:pt idx="78">
                  <c:v>5.7</c:v>
                </c:pt>
                <c:pt idx="79">
                  <c:v>5.8</c:v>
                </c:pt>
                <c:pt idx="80">
                  <c:v>5.9</c:v>
                </c:pt>
                <c:pt idx="81">
                  <c:v>5.9</c:v>
                </c:pt>
                <c:pt idx="82">
                  <c:v>6.0</c:v>
                </c:pt>
                <c:pt idx="83">
                  <c:v>6.1</c:v>
                </c:pt>
                <c:pt idx="84">
                  <c:v>6.1</c:v>
                </c:pt>
                <c:pt idx="85">
                  <c:v>6.2</c:v>
                </c:pt>
                <c:pt idx="86">
                  <c:v>6.3</c:v>
                </c:pt>
                <c:pt idx="87">
                  <c:v>6.3</c:v>
                </c:pt>
                <c:pt idx="88">
                  <c:v>6.4</c:v>
                </c:pt>
                <c:pt idx="89">
                  <c:v>6.5</c:v>
                </c:pt>
                <c:pt idx="90">
                  <c:v>6.5</c:v>
                </c:pt>
                <c:pt idx="91">
                  <c:v>6.6</c:v>
                </c:pt>
                <c:pt idx="92">
                  <c:v>6.7</c:v>
                </c:pt>
                <c:pt idx="93">
                  <c:v>6.7</c:v>
                </c:pt>
                <c:pt idx="94">
                  <c:v>6.8</c:v>
                </c:pt>
                <c:pt idx="95">
                  <c:v>6.9</c:v>
                </c:pt>
              </c:strCache>
            </c:strRef>
          </c:xVal>
          <c:yVal>
            <c:numRef>
              <c:f>calc!$J$3:$J$100</c:f>
              <c:numCache>
                <c:formatCode>0.000</c:formatCode>
                <c:ptCount val="98"/>
                <c:pt idx="5">
                  <c:v>4.5774500437241148</c:v>
                </c:pt>
                <c:pt idx="6">
                  <c:v>4.5675331720558159</c:v>
                </c:pt>
                <c:pt idx="7">
                  <c:v>4.5730116281539965</c:v>
                </c:pt>
                <c:pt idx="8">
                  <c:v>4.5745019020211597</c:v>
                </c:pt>
                <c:pt idx="9">
                  <c:v>4.5788479740388075</c:v>
                </c:pt>
                <c:pt idx="10">
                  <c:v>4.5820830322982751</c:v>
                </c:pt>
                <c:pt idx="11">
                  <c:v>4.5621561856924622</c:v>
                </c:pt>
                <c:pt idx="12">
                  <c:v>4.5648369629019703</c:v>
                </c:pt>
                <c:pt idx="13">
                  <c:v>4.5636053961131351</c:v>
                </c:pt>
                <c:pt idx="14">
                  <c:v>4.5748063442895122</c:v>
                </c:pt>
                <c:pt idx="15">
                  <c:v>4.5750228787382294</c:v>
                </c:pt>
                <c:pt idx="16">
                  <c:v>4.5662173506887589</c:v>
                </c:pt>
                <c:pt idx="17">
                  <c:v>4.5681561581902885</c:v>
                </c:pt>
                <c:pt idx="18">
                  <c:v>4.5782240670612175</c:v>
                </c:pt>
                <c:pt idx="19">
                  <c:v>4.5776299857894989</c:v>
                </c:pt>
                <c:pt idx="20">
                  <c:v>4.5712718187733934</c:v>
                </c:pt>
                <c:pt idx="21">
                  <c:v>4.5793678503725044</c:v>
                </c:pt>
                <c:pt idx="22">
                  <c:v>4.5700411732521724</c:v>
                </c:pt>
                <c:pt idx="23">
                  <c:v>4.5607805217384003</c:v>
                </c:pt>
                <c:pt idx="24">
                  <c:v>4.5655790167727988</c:v>
                </c:pt>
                <c:pt idx="25">
                  <c:v>4.5784883298649728</c:v>
                </c:pt>
                <c:pt idx="26">
                  <c:v>4.5622589203847346</c:v>
                </c:pt>
                <c:pt idx="27">
                  <c:v>4.568592817449403</c:v>
                </c:pt>
                <c:pt idx="28">
                  <c:v>4.5755680610691334</c:v>
                </c:pt>
                <c:pt idx="29">
                  <c:v>4.5673940519557661</c:v>
                </c:pt>
                <c:pt idx="30">
                  <c:v>4.5681823661945753</c:v>
                </c:pt>
                <c:pt idx="31">
                  <c:v>4.5755407180047527</c:v>
                </c:pt>
                <c:pt idx="32">
                  <c:v>4.5763712505125103</c:v>
                </c:pt>
                <c:pt idx="33">
                  <c:v>4.5622882290300435</c:v>
                </c:pt>
                <c:pt idx="34">
                  <c:v>4.5630986071548536</c:v>
                </c:pt>
                <c:pt idx="35">
                  <c:v>4.5711496172479418</c:v>
                </c:pt>
                <c:pt idx="36">
                  <c:v>4.5642437329385377</c:v>
                </c:pt>
                <c:pt idx="37">
                  <c:v>4.5693040745354407</c:v>
                </c:pt>
                <c:pt idx="38">
                  <c:v>4.5646142905463218</c:v>
                </c:pt>
                <c:pt idx="39">
                  <c:v>4.5711312591207403</c:v>
                </c:pt>
                <c:pt idx="41">
                  <c:v>4.5748637247314416</c:v>
                </c:pt>
                <c:pt idx="42">
                  <c:v>4.573180830171375</c:v>
                </c:pt>
                <c:pt idx="43">
                  <c:v>4.5742782902086292</c:v>
                </c:pt>
                <c:pt idx="44">
                  <c:v>4.5727370798385918</c:v>
                </c:pt>
                <c:pt idx="45">
                  <c:v>4.576023150080812</c:v>
                </c:pt>
                <c:pt idx="46">
                  <c:v>4.5654300608148031</c:v>
                </c:pt>
                <c:pt idx="47">
                  <c:v>4.5649581984443461</c:v>
                </c:pt>
                <c:pt idx="48">
                  <c:v>4.5722369303445074</c:v>
                </c:pt>
                <c:pt idx="49">
                  <c:v>4.5775512312830413</c:v>
                </c:pt>
                <c:pt idx="50">
                  <c:v>4.5640970487417851</c:v>
                </c:pt>
                <c:pt idx="51">
                  <c:v>4.5784853787925526</c:v>
                </c:pt>
                <c:pt idx="52">
                  <c:v>4.5740226315565948</c:v>
                </c:pt>
                <c:pt idx="53">
                  <c:v>4.5683328157987253</c:v>
                </c:pt>
                <c:pt idx="56">
                  <c:v>4.5805804311752558</c:v>
                </c:pt>
                <c:pt idx="58">
                  <c:v>4.5690263018105259</c:v>
                </c:pt>
                <c:pt idx="59">
                  <c:v>4.5768013240919041</c:v>
                </c:pt>
                <c:pt idx="60">
                  <c:v>4.5741167513984937</c:v>
                </c:pt>
                <c:pt idx="61">
                  <c:v>4.5755524734725253</c:v>
                </c:pt>
                <c:pt idx="62">
                  <c:v>4.5813814101253687</c:v>
                </c:pt>
                <c:pt idx="63">
                  <c:v>4.5629840020627261</c:v>
                </c:pt>
                <c:pt idx="64">
                  <c:v>4.5671232899813727</c:v>
                </c:pt>
                <c:pt idx="65">
                  <c:v>4.5707527948829645</c:v>
                </c:pt>
                <c:pt idx="66">
                  <c:v>4.5679883343686765</c:v>
                </c:pt>
                <c:pt idx="67">
                  <c:v>4.5589258666599379</c:v>
                </c:pt>
                <c:pt idx="68">
                  <c:v>4.580225828468965</c:v>
                </c:pt>
                <c:pt idx="69">
                  <c:v>4.5766084847661181</c:v>
                </c:pt>
                <c:pt idx="70">
                  <c:v>4.5742490319509805</c:v>
                </c:pt>
                <c:pt idx="71">
                  <c:v>4.5730397179566431</c:v>
                </c:pt>
                <c:pt idx="72">
                  <c:v>4.5832850351550301</c:v>
                </c:pt>
                <c:pt idx="73">
                  <c:v>4.5822732929144268</c:v>
                </c:pt>
                <c:pt idx="74">
                  <c:v>4.5692962302888436</c:v>
                </c:pt>
                <c:pt idx="75">
                  <c:v>4.5690095899572132</c:v>
                </c:pt>
                <c:pt idx="76">
                  <c:v>4.5714209504140859</c:v>
                </c:pt>
                <c:pt idx="77">
                  <c:v>4.5711632393850703</c:v>
                </c:pt>
                <c:pt idx="78">
                  <c:v>4.5820275350727533</c:v>
                </c:pt>
                <c:pt idx="79">
                  <c:v>4.581950539873513</c:v>
                </c:pt>
                <c:pt idx="80">
                  <c:v>4.5636429898230544</c:v>
                </c:pt>
                <c:pt idx="81">
                  <c:v>4.5630564975653778</c:v>
                </c:pt>
                <c:pt idx="82">
                  <c:v>4.5586046574874919</c:v>
                </c:pt>
                <c:pt idx="83">
                  <c:v>4.5669863132787816</c:v>
                </c:pt>
                <c:pt idx="84">
                  <c:v>4.5617799745824987</c:v>
                </c:pt>
                <c:pt idx="85">
                  <c:v>4.5672306821123163</c:v>
                </c:pt>
                <c:pt idx="86">
                  <c:v>4.5686885529797694</c:v>
                </c:pt>
                <c:pt idx="88">
                  <c:v>4.5821346241215561</c:v>
                </c:pt>
                <c:pt idx="89">
                  <c:v>4.5625660793958955</c:v>
                </c:pt>
                <c:pt idx="90">
                  <c:v>4.5646230689123284</c:v>
                </c:pt>
                <c:pt idx="91">
                  <c:v>4.5712678255753856</c:v>
                </c:pt>
                <c:pt idx="92">
                  <c:v>4.5698944046159165</c:v>
                </c:pt>
                <c:pt idx="93">
                  <c:v>4.5590583660197028</c:v>
                </c:pt>
                <c:pt idx="94">
                  <c:v>4.5592620175770922</c:v>
                </c:pt>
                <c:pt idx="95">
                  <c:v>4.5634932360628104</c:v>
                </c:pt>
                <c:pt idx="96">
                  <c:v>0</c:v>
                </c:pt>
              </c:numCache>
            </c:numRef>
          </c:yVal>
          <c:smooth val="0"/>
          <c:extLst>
            <c:ext xmlns:c16="http://schemas.microsoft.com/office/drawing/2014/chart" uri="{C3380CC4-5D6E-409C-BE32-E72D297353CC}">
              <c16:uniqueId val="{00000003-779E-4596-8A07-3244C3CB3B43}"/>
            </c:ext>
          </c:extLst>
        </c:ser>
        <c:ser>
          <c:idx val="0"/>
          <c:order val="1"/>
          <c:spPr>
            <a:ln w="28575">
              <a:noFill/>
            </a:ln>
          </c:spPr>
          <c:marker>
            <c:symbol val="circle"/>
            <c:size val="8"/>
            <c:spPr>
              <a:solidFill>
                <a:srgbClr val="00B0F0"/>
              </a:solidFill>
              <a:ln w="9525">
                <a:solidFill>
                  <a:srgbClr val="000000"/>
                </a:solidFill>
              </a:ln>
            </c:spPr>
          </c:marker>
          <c:xVal>
            <c:strRef>
              <c:f>calc!$N$3:$N$100</c:f>
              <c:strCache>
                <c:ptCount val="96"/>
                <c:pt idx="0">
                  <c:v>0.4</c:v>
                </c:pt>
                <c:pt idx="1">
                  <c:v>0.5</c:v>
                </c:pt>
                <c:pt idx="2">
                  <c:v>0.5</c:v>
                </c:pt>
                <c:pt idx="3">
                  <c:v>0.6</c:v>
                </c:pt>
                <c:pt idx="4">
                  <c:v>0.7</c:v>
                </c:pt>
                <c:pt idx="5">
                  <c:v>0.7</c:v>
                </c:pt>
                <c:pt idx="6">
                  <c:v>0.8</c:v>
                </c:pt>
                <c:pt idx="7">
                  <c:v>0.9</c:v>
                </c:pt>
                <c:pt idx="8">
                  <c:v>1.0</c:v>
                </c:pt>
                <c:pt idx="9">
                  <c:v>1.0</c:v>
                </c:pt>
                <c:pt idx="10">
                  <c:v>1.1</c:v>
                </c:pt>
                <c:pt idx="11">
                  <c:v>1.2</c:v>
                </c:pt>
                <c:pt idx="12">
                  <c:v>1.2</c:v>
                </c:pt>
                <c:pt idx="13">
                  <c:v>1.3</c:v>
                </c:pt>
                <c:pt idx="14">
                  <c:v>1.4</c:v>
                </c:pt>
                <c:pt idx="15">
                  <c:v>1.4</c:v>
                </c:pt>
                <c:pt idx="16">
                  <c:v>1.5</c:v>
                </c:pt>
                <c:pt idx="17">
                  <c:v>1.6</c:v>
                </c:pt>
                <c:pt idx="18">
                  <c:v>1.6</c:v>
                </c:pt>
                <c:pt idx="19">
                  <c:v>1.7</c:v>
                </c:pt>
                <c:pt idx="20">
                  <c:v>1.8</c:v>
                </c:pt>
                <c:pt idx="21">
                  <c:v>1.8</c:v>
                </c:pt>
                <c:pt idx="22">
                  <c:v>1.9</c:v>
                </c:pt>
                <c:pt idx="23">
                  <c:v>2.0</c:v>
                </c:pt>
                <c:pt idx="24">
                  <c:v>2.0</c:v>
                </c:pt>
                <c:pt idx="25">
                  <c:v>2.1</c:v>
                </c:pt>
                <c:pt idx="26">
                  <c:v>2.2</c:v>
                </c:pt>
                <c:pt idx="27">
                  <c:v>2.2</c:v>
                </c:pt>
                <c:pt idx="28">
                  <c:v>2.3</c:v>
                </c:pt>
                <c:pt idx="29">
                  <c:v>2.4</c:v>
                </c:pt>
                <c:pt idx="30">
                  <c:v>2.5</c:v>
                </c:pt>
                <c:pt idx="31">
                  <c:v>2.5</c:v>
                </c:pt>
                <c:pt idx="32">
                  <c:v>2.6</c:v>
                </c:pt>
                <c:pt idx="33">
                  <c:v>2.7</c:v>
                </c:pt>
                <c:pt idx="34">
                  <c:v>2.7</c:v>
                </c:pt>
                <c:pt idx="35">
                  <c:v>2.8</c:v>
                </c:pt>
                <c:pt idx="36">
                  <c:v>2.9</c:v>
                </c:pt>
                <c:pt idx="37">
                  <c:v>2.9</c:v>
                </c:pt>
                <c:pt idx="38">
                  <c:v>3.0</c:v>
                </c:pt>
                <c:pt idx="39">
                  <c:v>3.1</c:v>
                </c:pt>
                <c:pt idx="40">
                  <c:v>3.1</c:v>
                </c:pt>
                <c:pt idx="41">
                  <c:v>3.2</c:v>
                </c:pt>
                <c:pt idx="42">
                  <c:v>3.3</c:v>
                </c:pt>
                <c:pt idx="43">
                  <c:v>3.3</c:v>
                </c:pt>
                <c:pt idx="44">
                  <c:v>3.4</c:v>
                </c:pt>
                <c:pt idx="45">
                  <c:v>3.5</c:v>
                </c:pt>
                <c:pt idx="46">
                  <c:v>3.5</c:v>
                </c:pt>
                <c:pt idx="47">
                  <c:v>3.6</c:v>
                </c:pt>
                <c:pt idx="48">
                  <c:v>3.7</c:v>
                </c:pt>
                <c:pt idx="49">
                  <c:v>3.7</c:v>
                </c:pt>
                <c:pt idx="50">
                  <c:v>3.8</c:v>
                </c:pt>
                <c:pt idx="51">
                  <c:v>3.9</c:v>
                </c:pt>
                <c:pt idx="52">
                  <c:v>3.9</c:v>
                </c:pt>
                <c:pt idx="53">
                  <c:v>4.0</c:v>
                </c:pt>
                <c:pt idx="54">
                  <c:v>4.1</c:v>
                </c:pt>
                <c:pt idx="55">
                  <c:v>4.2</c:v>
                </c:pt>
                <c:pt idx="56">
                  <c:v>4.2</c:v>
                </c:pt>
                <c:pt idx="57">
                  <c:v>4.3</c:v>
                </c:pt>
                <c:pt idx="58">
                  <c:v>4.4</c:v>
                </c:pt>
                <c:pt idx="59">
                  <c:v>4.4</c:v>
                </c:pt>
                <c:pt idx="60">
                  <c:v>4.5</c:v>
                </c:pt>
                <c:pt idx="61">
                  <c:v>4.6</c:v>
                </c:pt>
                <c:pt idx="62">
                  <c:v>4.6</c:v>
                </c:pt>
                <c:pt idx="63">
                  <c:v>4.7</c:v>
                </c:pt>
                <c:pt idx="64">
                  <c:v>4.8</c:v>
                </c:pt>
                <c:pt idx="65">
                  <c:v>4.8</c:v>
                </c:pt>
                <c:pt idx="66">
                  <c:v>4.9</c:v>
                </c:pt>
                <c:pt idx="67">
                  <c:v>5.0</c:v>
                </c:pt>
                <c:pt idx="68">
                  <c:v>5.0</c:v>
                </c:pt>
                <c:pt idx="69">
                  <c:v>5.1</c:v>
                </c:pt>
                <c:pt idx="70">
                  <c:v>5.2</c:v>
                </c:pt>
                <c:pt idx="71">
                  <c:v>5.2</c:v>
                </c:pt>
                <c:pt idx="72">
                  <c:v>5.3</c:v>
                </c:pt>
                <c:pt idx="73">
                  <c:v>5.4</c:v>
                </c:pt>
                <c:pt idx="74">
                  <c:v>5.4</c:v>
                </c:pt>
                <c:pt idx="75">
                  <c:v>5.5</c:v>
                </c:pt>
                <c:pt idx="76">
                  <c:v>5.6</c:v>
                </c:pt>
                <c:pt idx="77">
                  <c:v>5.6</c:v>
                </c:pt>
                <c:pt idx="78">
                  <c:v>5.7</c:v>
                </c:pt>
                <c:pt idx="79">
                  <c:v>5.8</c:v>
                </c:pt>
                <c:pt idx="80">
                  <c:v>5.9</c:v>
                </c:pt>
                <c:pt idx="81">
                  <c:v>5.9</c:v>
                </c:pt>
                <c:pt idx="82">
                  <c:v>6.0</c:v>
                </c:pt>
                <c:pt idx="83">
                  <c:v>6.1</c:v>
                </c:pt>
                <c:pt idx="84">
                  <c:v>6.1</c:v>
                </c:pt>
                <c:pt idx="85">
                  <c:v>6.2</c:v>
                </c:pt>
                <c:pt idx="86">
                  <c:v>6.3</c:v>
                </c:pt>
                <c:pt idx="87">
                  <c:v>6.3</c:v>
                </c:pt>
                <c:pt idx="88">
                  <c:v>6.4</c:v>
                </c:pt>
                <c:pt idx="89">
                  <c:v>6.5</c:v>
                </c:pt>
                <c:pt idx="90">
                  <c:v>6.5</c:v>
                </c:pt>
                <c:pt idx="91">
                  <c:v>6.6</c:v>
                </c:pt>
                <c:pt idx="92">
                  <c:v>6.7</c:v>
                </c:pt>
                <c:pt idx="93">
                  <c:v>6.7</c:v>
                </c:pt>
                <c:pt idx="94">
                  <c:v>6.8</c:v>
                </c:pt>
                <c:pt idx="95">
                  <c:v>6.9</c:v>
                </c:pt>
              </c:strCache>
            </c:strRef>
          </c:xVal>
          <c:yVal>
            <c:numRef>
              <c:f>calc!$K$3:$K$100</c:f>
              <c:numCache>
                <c:formatCode>0.000</c:formatCode>
                <c:ptCount val="98"/>
                <c:pt idx="5">
                  <c:v>4.5835690883786935</c:v>
                </c:pt>
                <c:pt idx="6">
                  <c:v>4.5681507360263121</c:v>
                </c:pt>
                <c:pt idx="7">
                  <c:v>4.5760149521615778</c:v>
                </c:pt>
                <c:pt idx="8">
                  <c:v>4.5754174952570761</c:v>
                </c:pt>
                <c:pt idx="9">
                  <c:v>4.5753333601428183</c:v>
                </c:pt>
                <c:pt idx="10">
                  <c:v>4.5820406121327695</c:v>
                </c:pt>
                <c:pt idx="11">
                  <c:v>4.5680541783711721</c:v>
                </c:pt>
                <c:pt idx="12">
                  <c:v>4.568517522225263</c:v>
                </c:pt>
                <c:pt idx="13">
                  <c:v>4.5660544262516698</c:v>
                </c:pt>
                <c:pt idx="14">
                  <c:v>4.57840561933003</c:v>
                </c:pt>
                <c:pt idx="15">
                  <c:v>4.5750447024851342</c:v>
                </c:pt>
                <c:pt idx="16">
                  <c:v>4.5638061230870699</c:v>
                </c:pt>
                <c:pt idx="17">
                  <c:v>4.5720057165813088</c:v>
                </c:pt>
                <c:pt idx="18">
                  <c:v>4.5803933383355444</c:v>
                </c:pt>
                <c:pt idx="19">
                  <c:v>4.5815590365743688</c:v>
                </c:pt>
                <c:pt idx="20">
                  <c:v>4.5725156792253472</c:v>
                </c:pt>
                <c:pt idx="21">
                  <c:v>4.5794796154987969</c:v>
                </c:pt>
                <c:pt idx="22">
                  <c:v>4.5775701203007744</c:v>
                </c:pt>
                <c:pt idx="23">
                  <c:v>4.5637336854817914</c:v>
                </c:pt>
                <c:pt idx="24">
                  <c:v>4.5640784989316412</c:v>
                </c:pt>
                <c:pt idx="25">
                  <c:v>4.5787307949856979</c:v>
                </c:pt>
                <c:pt idx="26">
                  <c:v>4.5673295228459612</c:v>
                </c:pt>
                <c:pt idx="27">
                  <c:v>4.574062672692234</c:v>
                </c:pt>
                <c:pt idx="28">
                  <c:v>4.5757590401709933</c:v>
                </c:pt>
                <c:pt idx="29">
                  <c:v>4.5620020218757293</c:v>
                </c:pt>
                <c:pt idx="30">
                  <c:v>4.5681264221952933</c:v>
                </c:pt>
                <c:pt idx="31">
                  <c:v>4.5818469577100895</c:v>
                </c:pt>
                <c:pt idx="32">
                  <c:v>4.580373776621661</c:v>
                </c:pt>
                <c:pt idx="34">
                  <c:v>4.5637998149983297</c:v>
                </c:pt>
                <c:pt idx="35">
                  <c:v>4.5749210641186941</c:v>
                </c:pt>
                <c:pt idx="36">
                  <c:v>4.566534440079689</c:v>
                </c:pt>
                <c:pt idx="37">
                  <c:v>4.5751947234658452</c:v>
                </c:pt>
                <c:pt idx="38">
                  <c:v>4.5647510153694482</c:v>
                </c:pt>
                <c:pt idx="39">
                  <c:v>4.5749771541930162</c:v>
                </c:pt>
                <c:pt idx="41">
                  <c:v>4.5774940092067755</c:v>
                </c:pt>
                <c:pt idx="42">
                  <c:v>4.5737481024628499</c:v>
                </c:pt>
                <c:pt idx="43">
                  <c:v>4.5712930062601691</c:v>
                </c:pt>
                <c:pt idx="44">
                  <c:v>4.567659186270614</c:v>
                </c:pt>
                <c:pt idx="45">
                  <c:v>4.5739618166026137</c:v>
                </c:pt>
                <c:pt idx="46">
                  <c:v>4.5732710344171412</c:v>
                </c:pt>
                <c:pt idx="47">
                  <c:v>4.5692220384243551</c:v>
                </c:pt>
                <c:pt idx="48">
                  <c:v>4.5715996854405914</c:v>
                </c:pt>
                <c:pt idx="49">
                  <c:v>4.5789128175259606</c:v>
                </c:pt>
                <c:pt idx="50">
                  <c:v>4.5691215500397426</c:v>
                </c:pt>
                <c:pt idx="51">
                  <c:v>4.5793916801225292</c:v>
                </c:pt>
                <c:pt idx="52">
                  <c:v>4.580036255187367</c:v>
                </c:pt>
                <c:pt idx="53">
                  <c:v>4.5721395938337244</c:v>
                </c:pt>
                <c:pt idx="56">
                  <c:v>4.5845631092151091</c:v>
                </c:pt>
                <c:pt idx="57">
                  <c:v>4.5859543548560309</c:v>
                </c:pt>
                <c:pt idx="58">
                  <c:v>4.5684607639307142</c:v>
                </c:pt>
                <c:pt idx="59">
                  <c:v>4.5798784383153084</c:v>
                </c:pt>
                <c:pt idx="60">
                  <c:v>4.5769000644136817</c:v>
                </c:pt>
                <c:pt idx="61">
                  <c:v>4.581782534425197</c:v>
                </c:pt>
                <c:pt idx="62">
                  <c:v>4.5825360548375089</c:v>
                </c:pt>
                <c:pt idx="63">
                  <c:v>4.5655156762795555</c:v>
                </c:pt>
                <c:pt idx="64">
                  <c:v>4.5709141765109225</c:v>
                </c:pt>
                <c:pt idx="65">
                  <c:v>4.5708931360185909</c:v>
                </c:pt>
                <c:pt idx="66">
                  <c:v>4.5661001926551421</c:v>
                </c:pt>
                <c:pt idx="69">
                  <c:v>4.5834242812743433</c:v>
                </c:pt>
                <c:pt idx="70">
                  <c:v>4.5785693385633266</c:v>
                </c:pt>
                <c:pt idx="71">
                  <c:v>4.5748855134509236</c:v>
                </c:pt>
                <c:pt idx="72">
                  <c:v>4.5839155667041638</c:v>
                </c:pt>
                <c:pt idx="73">
                  <c:v>4.5831038520536929</c:v>
                </c:pt>
                <c:pt idx="74">
                  <c:v>4.5738972368714945</c:v>
                </c:pt>
                <c:pt idx="75">
                  <c:v>4.5724082490475659</c:v>
                </c:pt>
                <c:pt idx="76">
                  <c:v>4.5749936016174315</c:v>
                </c:pt>
                <c:pt idx="77">
                  <c:v>4.567299772635848</c:v>
                </c:pt>
                <c:pt idx="80">
                  <c:v>4.5708957124356662</c:v>
                </c:pt>
                <c:pt idx="81">
                  <c:v>4.5687364232320453</c:v>
                </c:pt>
                <c:pt idx="82">
                  <c:v>4.563191743417212</c:v>
                </c:pt>
                <c:pt idx="83">
                  <c:v>4.565066838279618</c:v>
                </c:pt>
                <c:pt idx="84">
                  <c:v>4.5610725344891465</c:v>
                </c:pt>
                <c:pt idx="85">
                  <c:v>4.5738318194921836</c:v>
                </c:pt>
                <c:pt idx="86">
                  <c:v>4.5742467075748614</c:v>
                </c:pt>
                <c:pt idx="88">
                  <c:v>4.5843233974844901</c:v>
                </c:pt>
                <c:pt idx="89">
                  <c:v>4.5642163422546087</c:v>
                </c:pt>
                <c:pt idx="90">
                  <c:v>4.5670135978646593</c:v>
                </c:pt>
                <c:pt idx="91">
                  <c:v>4.5707638820935479</c:v>
                </c:pt>
                <c:pt idx="92">
                  <c:v>4.5659671756045777</c:v>
                </c:pt>
                <c:pt idx="93">
                  <c:v>4.5614153819792715</c:v>
                </c:pt>
                <c:pt idx="94">
                  <c:v>4.5670786995745889</c:v>
                </c:pt>
                <c:pt idx="95">
                  <c:v>4.5688343512589427</c:v>
                </c:pt>
                <c:pt idx="96">
                  <c:v>0</c:v>
                </c:pt>
              </c:numCache>
            </c:numRef>
          </c:yVal>
          <c:smooth val="0"/>
          <c:extLst>
            <c:ext xmlns:c16="http://schemas.microsoft.com/office/drawing/2014/chart" uri="{C3380CC4-5D6E-409C-BE32-E72D297353CC}">
              <c16:uniqueId val="{00000000-E23E-4585-8271-75695D274847}"/>
            </c:ext>
          </c:extLst>
        </c:ser>
        <c:dLbls>
          <c:showLegendKey val="0"/>
          <c:showVal val="0"/>
          <c:showCatName val="0"/>
          <c:showSerName val="0"/>
          <c:showPercent val="0"/>
          <c:showBubbleSize val="0"/>
        </c:dLbls>
        <c:axId val="462739712"/>
        <c:axId val="39711488"/>
      </c:scatterChart>
      <c:valAx>
        <c:axId val="462739712"/>
        <c:scaling>
          <c:orientation val="minMax"/>
          <c:min val="0"/>
        </c:scaling>
        <c:delete val="0"/>
        <c:axPos val="b"/>
        <c:title>
          <c:tx>
            <c:rich>
              <a:bodyPr/>
              <a:lstStyle/>
              <a:p>
                <a:pPr>
                  <a:defRPr sz="1375" b="1" i="0" u="none" strike="noStrike" baseline="0">
                    <a:solidFill>
                      <a:srgbClr val="000000"/>
                    </a:solidFill>
                    <a:latin typeface="Arial"/>
                    <a:ea typeface="Arial"/>
                    <a:cs typeface="Arial"/>
                  </a:defRPr>
                </a:pPr>
                <a:r>
                  <a:rPr lang="en-US"/>
                  <a:t>seconds</a:t>
                </a:r>
              </a:p>
            </c:rich>
          </c:tx>
          <c:layout>
            <c:manualLayout>
              <c:xMode val="edge"/>
              <c:yMode val="edge"/>
              <c:x val="0.46889898493943949"/>
              <c:y val="0.9410132896620959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DE"/>
          </a:p>
        </c:txPr>
        <c:crossAx val="39711488"/>
        <c:crossesAt val="4.5460000000000012"/>
        <c:crossBetween val="midCat"/>
        <c:majorUnit val="2"/>
      </c:valAx>
      <c:valAx>
        <c:axId val="39711488"/>
        <c:scaling>
          <c:orientation val="minMax"/>
          <c:max val="4.6539999999999999"/>
          <c:min val="4.5460000000000012"/>
        </c:scaling>
        <c:delete val="0"/>
        <c:axPos val="l"/>
        <c:majorGridlines>
          <c:spPr>
            <a:ln w="3175">
              <a:solidFill>
                <a:schemeClr val="bg1">
                  <a:lumMod val="85000"/>
                </a:schemeClr>
              </a:solidFill>
              <a:prstDash val="solid"/>
            </a:ln>
          </c:spPr>
        </c:majorGridlines>
        <c:title>
          <c:tx>
            <c:rich>
              <a:bodyPr rot="0" vert="horz"/>
              <a:lstStyle/>
              <a:p>
                <a:pPr>
                  <a:defRPr sz="1800" b="1" i="0" u="none" strike="noStrike" baseline="0">
                    <a:solidFill>
                      <a:srgbClr val="000000"/>
                    </a:solidFill>
                    <a:latin typeface="Arial"/>
                    <a:ea typeface="Arial"/>
                    <a:cs typeface="Arial"/>
                  </a:defRPr>
                </a:pPr>
                <a:r>
                  <a:rPr lang="en-US" sz="1800" baseline="30000"/>
                  <a:t>11</a:t>
                </a:r>
                <a:r>
                  <a:rPr lang="en-US" sz="1800"/>
                  <a:t>B/</a:t>
                </a:r>
                <a:r>
                  <a:rPr lang="en-US" sz="1800" baseline="30000"/>
                  <a:t>10</a:t>
                </a:r>
                <a:r>
                  <a:rPr lang="en-US" sz="1800"/>
                  <a:t>B</a:t>
                </a:r>
              </a:p>
            </c:rich>
          </c:tx>
          <c:layout>
            <c:manualLayout>
              <c:xMode val="edge"/>
              <c:yMode val="edge"/>
              <c:x val="0.82717764310900654"/>
              <c:y val="0.93981669369010745"/>
            </c:manualLayout>
          </c:layout>
          <c:overlay val="0"/>
          <c:spPr>
            <a:noFill/>
            <a:ln w="25400">
              <a:noFill/>
            </a:ln>
          </c:spPr>
        </c:title>
        <c:numFmt formatCode="#,##0.000" sourceLinked="0"/>
        <c:majorTickMark val="out"/>
        <c:minorTickMark val="in"/>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DE"/>
          </a:p>
        </c:txPr>
        <c:crossAx val="462739712"/>
        <c:crossesAt val="0"/>
        <c:crossBetween val="midCat"/>
      </c:valAx>
      <c:spPr>
        <a:solidFill>
          <a:srgbClr val="FFFFFF"/>
        </a:solidFill>
        <a:ln w="12700">
          <a:solidFill>
            <a:sysClr val="windowText" lastClr="000000"/>
          </a:solidFill>
          <a:prstDash val="solid"/>
        </a:ln>
      </c:spPr>
    </c:plotArea>
    <c:plotVisOnly val="1"/>
    <c:dispBlanksAs val="gap"/>
    <c:showDLblsOverMax val="0"/>
  </c:chart>
  <c:spPr>
    <a:solidFill>
      <a:srgbClr val="FFFF66"/>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DE"/>
    </a:p>
  </c:txPr>
  <c:printSettings>
    <c:headerFooter alignWithMargins="0"/>
    <c:pageMargins b="1" l="0.75" r="0.75" t="1" header="0.4921259845" footer="0.492125984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02746049967059E-2"/>
          <c:y val="5.5430671087056883E-2"/>
          <c:w val="0.87760597002086072"/>
          <c:h val="0.90103518152784401"/>
        </c:manualLayout>
      </c:layout>
      <c:scatterChart>
        <c:scatterStyle val="smoothMarker"/>
        <c:varyColors val="0"/>
        <c:ser>
          <c:idx val="1"/>
          <c:order val="0"/>
          <c:tx>
            <c:strRef>
              <c:f>calc!$C$1</c:f>
              <c:strCache>
                <c:ptCount val="1"/>
                <c:pt idx="0">
                  <c:v>10.06</c:v>
                </c:pt>
              </c:strCache>
            </c:strRef>
          </c:tx>
          <c:spPr>
            <a:ln w="38100">
              <a:solidFill>
                <a:srgbClr val="008000"/>
              </a:solidFill>
              <a:prstDash val="solid"/>
            </a:ln>
          </c:spPr>
          <c:marker>
            <c:symbol val="circle"/>
            <c:size val="9"/>
            <c:spPr>
              <a:solidFill>
                <a:srgbClr val="008000"/>
              </a:solidFill>
              <a:ln>
                <a:solidFill>
                  <a:srgbClr val="008000"/>
                </a:solidFill>
              </a:ln>
            </c:spPr>
          </c:marker>
          <c:xVal>
            <c:numRef>
              <c:f>calc!$AJ$3:$AJ$100</c:f>
              <c:numCache>
                <c:formatCode>0.0</c:formatCode>
                <c:ptCount val="98"/>
                <c:pt idx="0">
                  <c:v>0.4083199999995486</c:v>
                </c:pt>
                <c:pt idx="1">
                  <c:v>0.47615999999970882</c:v>
                </c:pt>
                <c:pt idx="2">
                  <c:v>0.54425599999967744</c:v>
                </c:pt>
                <c:pt idx="3">
                  <c:v>0.61235199999964607</c:v>
                </c:pt>
                <c:pt idx="4">
                  <c:v>0.68044799999961469</c:v>
                </c:pt>
                <c:pt idx="5">
                  <c:v>0.74854399999958332</c:v>
                </c:pt>
                <c:pt idx="6">
                  <c:v>0.8168959999998151</c:v>
                </c:pt>
                <c:pt idx="7">
                  <c:v>0.88499199999932898</c:v>
                </c:pt>
                <c:pt idx="8">
                  <c:v>0.95283199999994395</c:v>
                </c:pt>
                <c:pt idx="9">
                  <c:v>1.0209279999999126</c:v>
                </c:pt>
                <c:pt idx="10">
                  <c:v>1.0892799999996896</c:v>
                </c:pt>
                <c:pt idx="11">
                  <c:v>1.1571199999993951</c:v>
                </c:pt>
                <c:pt idx="12">
                  <c:v>1.2252159999998185</c:v>
                </c:pt>
                <c:pt idx="13">
                  <c:v>1.2930559999999787</c:v>
                </c:pt>
                <c:pt idx="14">
                  <c:v>1.3611519999994925</c:v>
                </c:pt>
                <c:pt idx="15">
                  <c:v>1.4292479999994612</c:v>
                </c:pt>
                <c:pt idx="16">
                  <c:v>1.497599999999693</c:v>
                </c:pt>
                <c:pt idx="17">
                  <c:v>1.5656959999996616</c:v>
                </c:pt>
                <c:pt idx="18">
                  <c:v>1.6337919999996302</c:v>
                </c:pt>
                <c:pt idx="19">
                  <c:v>1.7018879999995988</c:v>
                </c:pt>
                <c:pt idx="20">
                  <c:v>1.769727999999759</c:v>
                </c:pt>
                <c:pt idx="21">
                  <c:v>1.8378239999997277</c:v>
                </c:pt>
                <c:pt idx="22">
                  <c:v>1.9059199999996963</c:v>
                </c:pt>
                <c:pt idx="23">
                  <c:v>1.9740159999996649</c:v>
                </c:pt>
                <c:pt idx="24">
                  <c:v>2.041599999999562</c:v>
                </c:pt>
                <c:pt idx="25">
                  <c:v>2.1096959999999854</c:v>
                </c:pt>
                <c:pt idx="26">
                  <c:v>2.1780479999997624</c:v>
                </c:pt>
                <c:pt idx="27">
                  <c:v>2.246143999999731</c:v>
                </c:pt>
                <c:pt idx="28">
                  <c:v>2.3142399999996996</c:v>
                </c:pt>
                <c:pt idx="29">
                  <c:v>2.3823359999996683</c:v>
                </c:pt>
                <c:pt idx="30">
                  <c:v>2.4506879999994453</c:v>
                </c:pt>
                <c:pt idx="31">
                  <c:v>2.5187839999998687</c:v>
                </c:pt>
                <c:pt idx="32">
                  <c:v>2.5868799999998373</c:v>
                </c:pt>
                <c:pt idx="33">
                  <c:v>2.6547199999995428</c:v>
                </c:pt>
                <c:pt idx="34">
                  <c:v>2.7228159999995114</c:v>
                </c:pt>
                <c:pt idx="35">
                  <c:v>2.7911679999992884</c:v>
                </c:pt>
                <c:pt idx="36">
                  <c:v>2.8592639999997118</c:v>
                </c:pt>
                <c:pt idx="37">
                  <c:v>2.9273599999996804</c:v>
                </c:pt>
                <c:pt idx="38">
                  <c:v>2.9949439999995775</c:v>
                </c:pt>
                <c:pt idx="39">
                  <c:v>3.0630399999995461</c:v>
                </c:pt>
                <c:pt idx="40">
                  <c:v>3.1311359999999695</c:v>
                </c:pt>
                <c:pt idx="41">
                  <c:v>3.1992319999999381</c:v>
                </c:pt>
                <c:pt idx="42">
                  <c:v>3.267327999999452</c:v>
                </c:pt>
                <c:pt idx="43">
                  <c:v>3.3351679999996122</c:v>
                </c:pt>
                <c:pt idx="44">
                  <c:v>3.4032640000000356</c:v>
                </c:pt>
                <c:pt idx="45">
                  <c:v>3.4713599999995495</c:v>
                </c:pt>
                <c:pt idx="46">
                  <c:v>3.5394559999995181</c:v>
                </c:pt>
                <c:pt idx="47">
                  <c:v>3.6075519999994867</c:v>
                </c:pt>
                <c:pt idx="48">
                  <c:v>3.6753920000001017</c:v>
                </c:pt>
                <c:pt idx="49">
                  <c:v>3.7434879999996156</c:v>
                </c:pt>
                <c:pt idx="50">
                  <c:v>3.8115839999995842</c:v>
                </c:pt>
                <c:pt idx="51">
                  <c:v>3.8796799999995528</c:v>
                </c:pt>
                <c:pt idx="52">
                  <c:v>3.9477759999995214</c:v>
                </c:pt>
                <c:pt idx="53">
                  <c:v>4.0156159999996817</c:v>
                </c:pt>
                <c:pt idx="54">
                  <c:v>4.0837119999996503</c:v>
                </c:pt>
                <c:pt idx="55">
                  <c:v>4.1518079999996189</c:v>
                </c:pt>
                <c:pt idx="56">
                  <c:v>4.2201599999993959</c:v>
                </c:pt>
                <c:pt idx="57">
                  <c:v>4.2882559999993646</c:v>
                </c:pt>
                <c:pt idx="58">
                  <c:v>4.3563519999997879</c:v>
                </c:pt>
                <c:pt idx="59">
                  <c:v>4.4244479999997566</c:v>
                </c:pt>
                <c:pt idx="60">
                  <c:v>4.4925439999997252</c:v>
                </c:pt>
                <c:pt idx="61">
                  <c:v>4.5603839999994307</c:v>
                </c:pt>
                <c:pt idx="62">
                  <c:v>4.628479999999854</c:v>
                </c:pt>
                <c:pt idx="63">
                  <c:v>4.6965759999998227</c:v>
                </c:pt>
                <c:pt idx="64">
                  <c:v>4.7641599999997197</c:v>
                </c:pt>
                <c:pt idx="65">
                  <c:v>4.8327679999997599</c:v>
                </c:pt>
                <c:pt idx="66">
                  <c:v>4.9006079999999201</c:v>
                </c:pt>
                <c:pt idx="67">
                  <c:v>4.9687039999998888</c:v>
                </c:pt>
                <c:pt idx="68">
                  <c:v>5.0367999999998574</c:v>
                </c:pt>
                <c:pt idx="69">
                  <c:v>5.104895999999826</c:v>
                </c:pt>
                <c:pt idx="70">
                  <c:v>5.1729919999993399</c:v>
                </c:pt>
                <c:pt idx="71">
                  <c:v>5.2408319999999549</c:v>
                </c:pt>
                <c:pt idx="72">
                  <c:v>5.3089279999999235</c:v>
                </c:pt>
                <c:pt idx="73">
                  <c:v>5.3770239999994374</c:v>
                </c:pt>
                <c:pt idx="74">
                  <c:v>5.445119999999406</c:v>
                </c:pt>
                <c:pt idx="75">
                  <c:v>5.5132159999998294</c:v>
                </c:pt>
                <c:pt idx="76">
                  <c:v>5.5810559999995348</c:v>
                </c:pt>
                <c:pt idx="77">
                  <c:v>5.6491519999995035</c:v>
                </c:pt>
                <c:pt idx="78">
                  <c:v>5.7172479999994721</c:v>
                </c:pt>
                <c:pt idx="79">
                  <c:v>5.7853439999994407</c:v>
                </c:pt>
                <c:pt idx="80">
                  <c:v>5.8534399999998641</c:v>
                </c:pt>
                <c:pt idx="81">
                  <c:v>5.9212799999995696</c:v>
                </c:pt>
                <c:pt idx="82">
                  <c:v>5.9893759999995382</c:v>
                </c:pt>
                <c:pt idx="83">
                  <c:v>6.0574719999995068</c:v>
                </c:pt>
                <c:pt idx="84">
                  <c:v>6.1250559999998586</c:v>
                </c:pt>
                <c:pt idx="85">
                  <c:v>6.1931519999998272</c:v>
                </c:pt>
                <c:pt idx="86">
                  <c:v>6.2612479999993411</c:v>
                </c:pt>
                <c:pt idx="87">
                  <c:v>6.3295999999995729</c:v>
                </c:pt>
                <c:pt idx="88">
                  <c:v>6.3974399999997331</c:v>
                </c:pt>
                <c:pt idx="89">
                  <c:v>6.4657919999999649</c:v>
                </c:pt>
                <c:pt idx="90">
                  <c:v>6.5338879999994788</c:v>
                </c:pt>
                <c:pt idx="91">
                  <c:v>6.601727999999639</c:v>
                </c:pt>
                <c:pt idx="92">
                  <c:v>6.6698240000000624</c:v>
                </c:pt>
                <c:pt idx="93">
                  <c:v>6.737920000000031</c:v>
                </c:pt>
                <c:pt idx="94">
                  <c:v>6.806271999999808</c:v>
                </c:pt>
                <c:pt idx="95">
                  <c:v>6.8743679999997767</c:v>
                </c:pt>
                <c:pt idx="96">
                  <c:v>#N/A</c:v>
                </c:pt>
                <c:pt idx="97">
                  <c:v>#N/A</c:v>
                </c:pt>
              </c:numCache>
            </c:numRef>
          </c:xVal>
          <c:yVal>
            <c:numRef>
              <c:f>calc!$A$3:$A$100</c:f>
              <c:numCache>
                <c:formatCode>0</c:formatCode>
                <c:ptCount val="98"/>
                <c:pt idx="0">
                  <c:v>-47.739991166054097</c:v>
                </c:pt>
                <c:pt idx="1">
                  <c:v>-693.33985050541742</c:v>
                </c:pt>
                <c:pt idx="2">
                  <c:v>4165.5435835402604</c:v>
                </c:pt>
                <c:pt idx="3">
                  <c:v>3679.2653468199132</c:v>
                </c:pt>
                <c:pt idx="4">
                  <c:v>1012.0384972685242</c:v>
                </c:pt>
                <c:pt idx="5">
                  <c:v>1758.191699383864</c:v>
                </c:pt>
                <c:pt idx="6">
                  <c:v>2421.2358478869937</c:v>
                </c:pt>
                <c:pt idx="7">
                  <c:v>1353.0798021733535</c:v>
                </c:pt>
                <c:pt idx="8">
                  <c:v>739.81873315724806</c:v>
                </c:pt>
                <c:pt idx="9">
                  <c:v>-1771.135593523948</c:v>
                </c:pt>
                <c:pt idx="10">
                  <c:v>35.817267938120494</c:v>
                </c:pt>
                <c:pt idx="11">
                  <c:v>2473.5471920072523</c:v>
                </c:pt>
                <c:pt idx="12">
                  <c:v>830.05707357384381</c:v>
                </c:pt>
                <c:pt idx="13">
                  <c:v>1501.3165668077963</c:v>
                </c:pt>
                <c:pt idx="14">
                  <c:v>1574.0354060194295</c:v>
                </c:pt>
                <c:pt idx="15">
                  <c:v>-122.40339044846405</c:v>
                </c:pt>
                <c:pt idx="16">
                  <c:v>-1936.2879833617299</c:v>
                </c:pt>
                <c:pt idx="17">
                  <c:v>2097.8154933489641</c:v>
                </c:pt>
                <c:pt idx="18">
                  <c:v>2861.9336604691598</c:v>
                </c:pt>
                <c:pt idx="19">
                  <c:v>1575.8035309204388</c:v>
                </c:pt>
                <c:pt idx="20">
                  <c:v>-351.8607028388069</c:v>
                </c:pt>
                <c:pt idx="21">
                  <c:v>547.01951393640775</c:v>
                </c:pt>
                <c:pt idx="22">
                  <c:v>2058.370310423019</c:v>
                </c:pt>
                <c:pt idx="23">
                  <c:v>-828.58104452257248</c:v>
                </c:pt>
                <c:pt idx="24">
                  <c:v>1433.9377798841197</c:v>
                </c:pt>
                <c:pt idx="25">
                  <c:v>1133.2040955557422</c:v>
                </c:pt>
                <c:pt idx="26">
                  <c:v>1595.3505959160757</c:v>
                </c:pt>
                <c:pt idx="27">
                  <c:v>2481.4187218264415</c:v>
                </c:pt>
                <c:pt idx="28">
                  <c:v>729.63904278124392</c:v>
                </c:pt>
                <c:pt idx="29">
                  <c:v>-1871.5954819524413</c:v>
                </c:pt>
                <c:pt idx="30">
                  <c:v>135.94320686397623</c:v>
                </c:pt>
                <c:pt idx="31">
                  <c:v>3406.8910529366913</c:v>
                </c:pt>
                <c:pt idx="32">
                  <c:v>1279.9059298934408</c:v>
                </c:pt>
                <c:pt idx="33">
                  <c:v>-1932.1683563978913</c:v>
                </c:pt>
                <c:pt idx="34">
                  <c:v>169.8493561577634</c:v>
                </c:pt>
                <c:pt idx="35">
                  <c:v>411.65679127725889</c:v>
                </c:pt>
                <c:pt idx="36">
                  <c:v>18.770602683991456</c:v>
                </c:pt>
                <c:pt idx="37">
                  <c:v>4841.1984213747382</c:v>
                </c:pt>
                <c:pt idx="38">
                  <c:v>779.72560153529048</c:v>
                </c:pt>
                <c:pt idx="39">
                  <c:v>1628.965317225513</c:v>
                </c:pt>
                <c:pt idx="40">
                  <c:v>2975.6681206850553</c:v>
                </c:pt>
                <c:pt idx="41">
                  <c:v>241.33566114468704</c:v>
                </c:pt>
                <c:pt idx="42">
                  <c:v>-198.62289651756146</c:v>
                </c:pt>
                <c:pt idx="43">
                  <c:v>-1549.4177059122812</c:v>
                </c:pt>
                <c:pt idx="44">
                  <c:v>-1454.1304963111324</c:v>
                </c:pt>
                <c:pt idx="45">
                  <c:v>899.81315231661574</c:v>
                </c:pt>
                <c:pt idx="46">
                  <c:v>2416.9847372851145</c:v>
                </c:pt>
                <c:pt idx="47">
                  <c:v>-302.07057049225477</c:v>
                </c:pt>
                <c:pt idx="48">
                  <c:v>-1188.9913574400853</c:v>
                </c:pt>
                <c:pt idx="49">
                  <c:v>-729.26545974799592</c:v>
                </c:pt>
                <c:pt idx="50">
                  <c:v>1125.0402818329894</c:v>
                </c:pt>
                <c:pt idx="51">
                  <c:v>1920.411157849303</c:v>
                </c:pt>
                <c:pt idx="52">
                  <c:v>3284.4442554825728</c:v>
                </c:pt>
                <c:pt idx="53">
                  <c:v>753.91788331632415</c:v>
                </c:pt>
                <c:pt idx="54">
                  <c:v>1356.9244748565507</c:v>
                </c:pt>
                <c:pt idx="55">
                  <c:v>1943.0756852211452</c:v>
                </c:pt>
                <c:pt idx="56">
                  <c:v>4340.1632844605883</c:v>
                </c:pt>
                <c:pt idx="57">
                  <c:v>105.75033727655682</c:v>
                </c:pt>
                <c:pt idx="58">
                  <c:v>-1459.0825315190887</c:v>
                </c:pt>
                <c:pt idx="59">
                  <c:v>2012.4682190578715</c:v>
                </c:pt>
                <c:pt idx="60">
                  <c:v>831.03289919585586</c:v>
                </c:pt>
                <c:pt idx="61">
                  <c:v>2203.2049268248375</c:v>
                </c:pt>
                <c:pt idx="62">
                  <c:v>1076.4452621647652</c:v>
                </c:pt>
                <c:pt idx="63">
                  <c:v>1238.7294030295743</c:v>
                </c:pt>
                <c:pt idx="64">
                  <c:v>2038.2321101924208</c:v>
                </c:pt>
                <c:pt idx="65">
                  <c:v>383.28152867849712</c:v>
                </c:pt>
                <c:pt idx="66">
                  <c:v>-647.10305830250945</c:v>
                </c:pt>
                <c:pt idx="67">
                  <c:v>-1407.8294813121211</c:v>
                </c:pt>
                <c:pt idx="68">
                  <c:v>2929.0852814535647</c:v>
                </c:pt>
                <c:pt idx="69">
                  <c:v>632.44420352290763</c:v>
                </c:pt>
                <c:pt idx="70">
                  <c:v>1505.8726586698394</c:v>
                </c:pt>
                <c:pt idx="71">
                  <c:v>2589.502489264738</c:v>
                </c:pt>
                <c:pt idx="72">
                  <c:v>49.284808434422303</c:v>
                </c:pt>
                <c:pt idx="73">
                  <c:v>-1375.7447070219496</c:v>
                </c:pt>
                <c:pt idx="74">
                  <c:v>2946.8684104821041</c:v>
                </c:pt>
                <c:pt idx="75">
                  <c:v>2350.9386708640304</c:v>
                </c:pt>
                <c:pt idx="76">
                  <c:v>-327.52294823523334</c:v>
                </c:pt>
                <c:pt idx="77">
                  <c:v>-1918.991761536683</c:v>
                </c:pt>
                <c:pt idx="78">
                  <c:v>2598.762779047629</c:v>
                </c:pt>
                <c:pt idx="79">
                  <c:v>2181.9071117166677</c:v>
                </c:pt>
                <c:pt idx="80">
                  <c:v>2521.1259361622615</c:v>
                </c:pt>
                <c:pt idx="81">
                  <c:v>2655.7069756764467</c:v>
                </c:pt>
                <c:pt idx="82">
                  <c:v>-442.44079040893121</c:v>
                </c:pt>
                <c:pt idx="83">
                  <c:v>-1562.2955565425182</c:v>
                </c:pt>
                <c:pt idx="84">
                  <c:v>-834.61034164169541</c:v>
                </c:pt>
                <c:pt idx="85">
                  <c:v>3345.0927274981368</c:v>
                </c:pt>
                <c:pt idx="86">
                  <c:v>3032.1068674363305</c:v>
                </c:pt>
                <c:pt idx="87">
                  <c:v>1025.7507752261663</c:v>
                </c:pt>
                <c:pt idx="88">
                  <c:v>637.18279640200126</c:v>
                </c:pt>
                <c:pt idx="89">
                  <c:v>-141.81770257876633</c:v>
                </c:pt>
                <c:pt idx="90">
                  <c:v>630.55822676954995</c:v>
                </c:pt>
                <c:pt idx="91">
                  <c:v>-835.44821518138997</c:v>
                </c:pt>
                <c:pt idx="92">
                  <c:v>-2179.101623322651</c:v>
                </c:pt>
                <c:pt idx="93">
                  <c:v>1207.9475316136522</c:v>
                </c:pt>
                <c:pt idx="94">
                  <c:v>3604.9934755594368</c:v>
                </c:pt>
                <c:pt idx="95">
                  <c:v>1778.7933410064215</c:v>
                </c:pt>
                <c:pt idx="96">
                  <c:v>0</c:v>
                </c:pt>
                <c:pt idx="97">
                  <c:v>0</c:v>
                </c:pt>
              </c:numCache>
            </c:numRef>
          </c:yVal>
          <c:smooth val="1"/>
          <c:extLst>
            <c:ext xmlns:c16="http://schemas.microsoft.com/office/drawing/2014/chart" uri="{C3380CC4-5D6E-409C-BE32-E72D297353CC}">
              <c16:uniqueId val="{00000000-F0F6-4DC5-AC81-04CAF4264FFF}"/>
            </c:ext>
          </c:extLst>
        </c:ser>
        <c:ser>
          <c:idx val="2"/>
          <c:order val="1"/>
          <c:tx>
            <c:strRef>
              <c:f>calc!$D$1</c:f>
              <c:strCache>
                <c:ptCount val="1"/>
                <c:pt idx="0">
                  <c:v>10.013</c:v>
                </c:pt>
              </c:strCache>
            </c:strRef>
          </c:tx>
          <c:spPr>
            <a:ln w="38100">
              <a:solidFill>
                <a:srgbClr val="DD0806"/>
              </a:solidFill>
              <a:prstDash val="solid"/>
            </a:ln>
          </c:spPr>
          <c:marker>
            <c:symbol val="x"/>
            <c:size val="8"/>
            <c:spPr>
              <a:solidFill>
                <a:srgbClr val="CC0000"/>
              </a:solidFill>
              <a:ln>
                <a:solidFill>
                  <a:schemeClr val="bg1"/>
                </a:solidFill>
              </a:ln>
            </c:spPr>
          </c:marker>
          <c:xVal>
            <c:numRef>
              <c:f>calc!$AJ$3:$AJ$100</c:f>
              <c:numCache>
                <c:formatCode>0.0</c:formatCode>
                <c:ptCount val="98"/>
                <c:pt idx="0">
                  <c:v>0.4083199999995486</c:v>
                </c:pt>
                <c:pt idx="1">
                  <c:v>0.47615999999970882</c:v>
                </c:pt>
                <c:pt idx="2">
                  <c:v>0.54425599999967744</c:v>
                </c:pt>
                <c:pt idx="3">
                  <c:v>0.61235199999964607</c:v>
                </c:pt>
                <c:pt idx="4">
                  <c:v>0.68044799999961469</c:v>
                </c:pt>
                <c:pt idx="5">
                  <c:v>0.74854399999958332</c:v>
                </c:pt>
                <c:pt idx="6">
                  <c:v>0.8168959999998151</c:v>
                </c:pt>
                <c:pt idx="7">
                  <c:v>0.88499199999932898</c:v>
                </c:pt>
                <c:pt idx="8">
                  <c:v>0.95283199999994395</c:v>
                </c:pt>
                <c:pt idx="9">
                  <c:v>1.0209279999999126</c:v>
                </c:pt>
                <c:pt idx="10">
                  <c:v>1.0892799999996896</c:v>
                </c:pt>
                <c:pt idx="11">
                  <c:v>1.1571199999993951</c:v>
                </c:pt>
                <c:pt idx="12">
                  <c:v>1.2252159999998185</c:v>
                </c:pt>
                <c:pt idx="13">
                  <c:v>1.2930559999999787</c:v>
                </c:pt>
                <c:pt idx="14">
                  <c:v>1.3611519999994925</c:v>
                </c:pt>
                <c:pt idx="15">
                  <c:v>1.4292479999994612</c:v>
                </c:pt>
                <c:pt idx="16">
                  <c:v>1.497599999999693</c:v>
                </c:pt>
                <c:pt idx="17">
                  <c:v>1.5656959999996616</c:v>
                </c:pt>
                <c:pt idx="18">
                  <c:v>1.6337919999996302</c:v>
                </c:pt>
                <c:pt idx="19">
                  <c:v>1.7018879999995988</c:v>
                </c:pt>
                <c:pt idx="20">
                  <c:v>1.769727999999759</c:v>
                </c:pt>
                <c:pt idx="21">
                  <c:v>1.8378239999997277</c:v>
                </c:pt>
                <c:pt idx="22">
                  <c:v>1.9059199999996963</c:v>
                </c:pt>
                <c:pt idx="23">
                  <c:v>1.9740159999996649</c:v>
                </c:pt>
                <c:pt idx="24">
                  <c:v>2.041599999999562</c:v>
                </c:pt>
                <c:pt idx="25">
                  <c:v>2.1096959999999854</c:v>
                </c:pt>
                <c:pt idx="26">
                  <c:v>2.1780479999997624</c:v>
                </c:pt>
                <c:pt idx="27">
                  <c:v>2.246143999999731</c:v>
                </c:pt>
                <c:pt idx="28">
                  <c:v>2.3142399999996996</c:v>
                </c:pt>
                <c:pt idx="29">
                  <c:v>2.3823359999996683</c:v>
                </c:pt>
                <c:pt idx="30">
                  <c:v>2.4506879999994453</c:v>
                </c:pt>
                <c:pt idx="31">
                  <c:v>2.5187839999998687</c:v>
                </c:pt>
                <c:pt idx="32">
                  <c:v>2.5868799999998373</c:v>
                </c:pt>
                <c:pt idx="33">
                  <c:v>2.6547199999995428</c:v>
                </c:pt>
                <c:pt idx="34">
                  <c:v>2.7228159999995114</c:v>
                </c:pt>
                <c:pt idx="35">
                  <c:v>2.7911679999992884</c:v>
                </c:pt>
                <c:pt idx="36">
                  <c:v>2.8592639999997118</c:v>
                </c:pt>
                <c:pt idx="37">
                  <c:v>2.9273599999996804</c:v>
                </c:pt>
                <c:pt idx="38">
                  <c:v>2.9949439999995775</c:v>
                </c:pt>
                <c:pt idx="39">
                  <c:v>3.0630399999995461</c:v>
                </c:pt>
                <c:pt idx="40">
                  <c:v>3.1311359999999695</c:v>
                </c:pt>
                <c:pt idx="41">
                  <c:v>3.1992319999999381</c:v>
                </c:pt>
                <c:pt idx="42">
                  <c:v>3.267327999999452</c:v>
                </c:pt>
                <c:pt idx="43">
                  <c:v>3.3351679999996122</c:v>
                </c:pt>
                <c:pt idx="44">
                  <c:v>3.4032640000000356</c:v>
                </c:pt>
                <c:pt idx="45">
                  <c:v>3.4713599999995495</c:v>
                </c:pt>
                <c:pt idx="46">
                  <c:v>3.5394559999995181</c:v>
                </c:pt>
                <c:pt idx="47">
                  <c:v>3.6075519999994867</c:v>
                </c:pt>
                <c:pt idx="48">
                  <c:v>3.6753920000001017</c:v>
                </c:pt>
                <c:pt idx="49">
                  <c:v>3.7434879999996156</c:v>
                </c:pt>
                <c:pt idx="50">
                  <c:v>3.8115839999995842</c:v>
                </c:pt>
                <c:pt idx="51">
                  <c:v>3.8796799999995528</c:v>
                </c:pt>
                <c:pt idx="52">
                  <c:v>3.9477759999995214</c:v>
                </c:pt>
                <c:pt idx="53">
                  <c:v>4.0156159999996817</c:v>
                </c:pt>
                <c:pt idx="54">
                  <c:v>4.0837119999996503</c:v>
                </c:pt>
                <c:pt idx="55">
                  <c:v>4.1518079999996189</c:v>
                </c:pt>
                <c:pt idx="56">
                  <c:v>4.2201599999993959</c:v>
                </c:pt>
                <c:pt idx="57">
                  <c:v>4.2882559999993646</c:v>
                </c:pt>
                <c:pt idx="58">
                  <c:v>4.3563519999997879</c:v>
                </c:pt>
                <c:pt idx="59">
                  <c:v>4.4244479999997566</c:v>
                </c:pt>
                <c:pt idx="60">
                  <c:v>4.4925439999997252</c:v>
                </c:pt>
                <c:pt idx="61">
                  <c:v>4.5603839999994307</c:v>
                </c:pt>
                <c:pt idx="62">
                  <c:v>4.628479999999854</c:v>
                </c:pt>
                <c:pt idx="63">
                  <c:v>4.6965759999998227</c:v>
                </c:pt>
                <c:pt idx="64">
                  <c:v>4.7641599999997197</c:v>
                </c:pt>
                <c:pt idx="65">
                  <c:v>4.8327679999997599</c:v>
                </c:pt>
                <c:pt idx="66">
                  <c:v>4.9006079999999201</c:v>
                </c:pt>
                <c:pt idx="67">
                  <c:v>4.9687039999998888</c:v>
                </c:pt>
                <c:pt idx="68">
                  <c:v>5.0367999999998574</c:v>
                </c:pt>
                <c:pt idx="69">
                  <c:v>5.104895999999826</c:v>
                </c:pt>
                <c:pt idx="70">
                  <c:v>5.1729919999993399</c:v>
                </c:pt>
                <c:pt idx="71">
                  <c:v>5.2408319999999549</c:v>
                </c:pt>
                <c:pt idx="72">
                  <c:v>5.3089279999999235</c:v>
                </c:pt>
                <c:pt idx="73">
                  <c:v>5.3770239999994374</c:v>
                </c:pt>
                <c:pt idx="74">
                  <c:v>5.445119999999406</c:v>
                </c:pt>
                <c:pt idx="75">
                  <c:v>5.5132159999998294</c:v>
                </c:pt>
                <c:pt idx="76">
                  <c:v>5.5810559999995348</c:v>
                </c:pt>
                <c:pt idx="77">
                  <c:v>5.6491519999995035</c:v>
                </c:pt>
                <c:pt idx="78">
                  <c:v>5.7172479999994721</c:v>
                </c:pt>
                <c:pt idx="79">
                  <c:v>5.7853439999994407</c:v>
                </c:pt>
                <c:pt idx="80">
                  <c:v>5.8534399999998641</c:v>
                </c:pt>
                <c:pt idx="81">
                  <c:v>5.9212799999995696</c:v>
                </c:pt>
                <c:pt idx="82">
                  <c:v>5.9893759999995382</c:v>
                </c:pt>
                <c:pt idx="83">
                  <c:v>6.0574719999995068</c:v>
                </c:pt>
                <c:pt idx="84">
                  <c:v>6.1250559999998586</c:v>
                </c:pt>
                <c:pt idx="85">
                  <c:v>6.1931519999998272</c:v>
                </c:pt>
                <c:pt idx="86">
                  <c:v>6.2612479999993411</c:v>
                </c:pt>
                <c:pt idx="87">
                  <c:v>6.3295999999995729</c:v>
                </c:pt>
                <c:pt idx="88">
                  <c:v>6.3974399999997331</c:v>
                </c:pt>
                <c:pt idx="89">
                  <c:v>6.4657919999999649</c:v>
                </c:pt>
                <c:pt idx="90">
                  <c:v>6.5338879999994788</c:v>
                </c:pt>
                <c:pt idx="91">
                  <c:v>6.601727999999639</c:v>
                </c:pt>
                <c:pt idx="92">
                  <c:v>6.6698240000000624</c:v>
                </c:pt>
                <c:pt idx="93">
                  <c:v>6.737920000000031</c:v>
                </c:pt>
                <c:pt idx="94">
                  <c:v>6.806271999999808</c:v>
                </c:pt>
                <c:pt idx="95">
                  <c:v>6.8743679999997767</c:v>
                </c:pt>
                <c:pt idx="96">
                  <c:v>#N/A</c:v>
                </c:pt>
                <c:pt idx="97">
                  <c:v>#N/A</c:v>
                </c:pt>
              </c:numCache>
            </c:numRef>
          </c:xVal>
          <c:yVal>
            <c:numRef>
              <c:f>calc!$B$3:$B$100</c:f>
              <c:numCache>
                <c:formatCode>0</c:formatCode>
                <c:ptCount val="98"/>
                <c:pt idx="0">
                  <c:v>1598964.6344628278</c:v>
                </c:pt>
                <c:pt idx="1">
                  <c:v>1634034.8983126709</c:v>
                </c:pt>
                <c:pt idx="2">
                  <c:v>1632934.11035503</c:v>
                </c:pt>
                <c:pt idx="3">
                  <c:v>1660959.0653803055</c:v>
                </c:pt>
                <c:pt idx="4">
                  <c:v>1687627.1548189372</c:v>
                </c:pt>
                <c:pt idx="5">
                  <c:v>1619806.5600069351</c:v>
                </c:pt>
                <c:pt idx="6">
                  <c:v>1612181.7634507292</c:v>
                </c:pt>
                <c:pt idx="7">
                  <c:v>1661890.2387603859</c:v>
                </c:pt>
                <c:pt idx="8">
                  <c:v>1665999.9146772134</c:v>
                </c:pt>
                <c:pt idx="9">
                  <c:v>1621537.5074641767</c:v>
                </c:pt>
                <c:pt idx="10">
                  <c:v>1612967.079376305</c:v>
                </c:pt>
                <c:pt idx="11">
                  <c:v>1633328.1327755372</c:v>
                </c:pt>
                <c:pt idx="12">
                  <c:v>1608381.1232782425</c:v>
                </c:pt>
                <c:pt idx="13">
                  <c:v>1616809.4033717932</c:v>
                </c:pt>
                <c:pt idx="14">
                  <c:v>1600934.8198306696</c:v>
                </c:pt>
                <c:pt idx="15">
                  <c:v>1593452.8885570029</c:v>
                </c:pt>
                <c:pt idx="16">
                  <c:v>1603099.7211171696</c:v>
                </c:pt>
                <c:pt idx="17">
                  <c:v>1617451.9051739068</c:v>
                </c:pt>
                <c:pt idx="18">
                  <c:v>1622683.3553083795</c:v>
                </c:pt>
                <c:pt idx="19">
                  <c:v>1617114.0351445687</c:v>
                </c:pt>
                <c:pt idx="20">
                  <c:v>1606403.41559168</c:v>
                </c:pt>
                <c:pt idx="21">
                  <c:v>1589915.1208008807</c:v>
                </c:pt>
                <c:pt idx="22">
                  <c:v>1583824.9852011851</c:v>
                </c:pt>
                <c:pt idx="23">
                  <c:v>1585171.9289651171</c:v>
                </c:pt>
                <c:pt idx="24">
                  <c:v>1578624.9571584086</c:v>
                </c:pt>
                <c:pt idx="25">
                  <c:v>1555202.0329505214</c:v>
                </c:pt>
                <c:pt idx="26">
                  <c:v>1550269.2091786223</c:v>
                </c:pt>
                <c:pt idx="27">
                  <c:v>1538437.2920510257</c:v>
                </c:pt>
                <c:pt idx="28">
                  <c:v>1531886.1587624089</c:v>
                </c:pt>
                <c:pt idx="29">
                  <c:v>1524669.2589769866</c:v>
                </c:pt>
                <c:pt idx="30">
                  <c:v>1525163.4120565378</c:v>
                </c:pt>
                <c:pt idx="31">
                  <c:v>1536541.2876800501</c:v>
                </c:pt>
                <c:pt idx="32">
                  <c:v>1546648.6684961831</c:v>
                </c:pt>
                <c:pt idx="33">
                  <c:v>1550124.6893844754</c:v>
                </c:pt>
                <c:pt idx="34">
                  <c:v>1534131.0825645353</c:v>
                </c:pt>
                <c:pt idx="35">
                  <c:v>1517666.1894943223</c:v>
                </c:pt>
                <c:pt idx="36">
                  <c:v>1501275.0309847991</c:v>
                </c:pt>
                <c:pt idx="37">
                  <c:v>1477375.2868239018</c:v>
                </c:pt>
                <c:pt idx="38">
                  <c:v>1463556.820054655</c:v>
                </c:pt>
                <c:pt idx="39">
                  <c:v>1464643.1020120098</c:v>
                </c:pt>
                <c:pt idx="40">
                  <c:v>1492724.643118931</c:v>
                </c:pt>
                <c:pt idx="41">
                  <c:v>1530741.2639386295</c:v>
                </c:pt>
                <c:pt idx="42">
                  <c:v>1545912.084445585</c:v>
                </c:pt>
                <c:pt idx="43">
                  <c:v>1535770.8082007866</c:v>
                </c:pt>
                <c:pt idx="44">
                  <c:v>1495562.9512057479</c:v>
                </c:pt>
                <c:pt idx="45">
                  <c:v>1481621.5532055288</c:v>
                </c:pt>
                <c:pt idx="46">
                  <c:v>1476864.7769881701</c:v>
                </c:pt>
                <c:pt idx="47">
                  <c:v>1479607.7834483027</c:v>
                </c:pt>
                <c:pt idx="48">
                  <c:v>1483104.8688118914</c:v>
                </c:pt>
                <c:pt idx="49">
                  <c:v>1478297.7351184723</c:v>
                </c:pt>
                <c:pt idx="50">
                  <c:v>1480083.5404072662</c:v>
                </c:pt>
                <c:pt idx="51">
                  <c:v>1486278.0090911626</c:v>
                </c:pt>
                <c:pt idx="52">
                  <c:v>1490095.2469536932</c:v>
                </c:pt>
                <c:pt idx="53">
                  <c:v>1495026.3063880622</c:v>
                </c:pt>
                <c:pt idx="54">
                  <c:v>1485981.7011081744</c:v>
                </c:pt>
                <c:pt idx="55">
                  <c:v>1470229.5962147289</c:v>
                </c:pt>
                <c:pt idx="56">
                  <c:v>1456611.4247206955</c:v>
                </c:pt>
                <c:pt idx="57">
                  <c:v>1461298.6223108834</c:v>
                </c:pt>
                <c:pt idx="58">
                  <c:v>1475654.5922197809</c:v>
                </c:pt>
                <c:pt idx="59">
                  <c:v>1484352.6928389184</c:v>
                </c:pt>
                <c:pt idx="60">
                  <c:v>1489408.7380826722</c:v>
                </c:pt>
                <c:pt idx="61">
                  <c:v>1485513.4021514405</c:v>
                </c:pt>
                <c:pt idx="62">
                  <c:v>1479012.6970123751</c:v>
                </c:pt>
                <c:pt idx="63">
                  <c:v>1485825.6667257494</c:v>
                </c:pt>
                <c:pt idx="64">
                  <c:v>1489215.289296902</c:v>
                </c:pt>
                <c:pt idx="65">
                  <c:v>1486772.6790831096</c:v>
                </c:pt>
                <c:pt idx="66">
                  <c:v>1472244.5519415815</c:v>
                </c:pt>
                <c:pt idx="67">
                  <c:v>1456591.79413634</c:v>
                </c:pt>
                <c:pt idx="68">
                  <c:v>1442838.7614479966</c:v>
                </c:pt>
                <c:pt idx="69">
                  <c:v>1448492.7685105114</c:v>
                </c:pt>
                <c:pt idx="70">
                  <c:v>1456405.4114730619</c:v>
                </c:pt>
                <c:pt idx="71">
                  <c:v>1458187.790484491</c:v>
                </c:pt>
                <c:pt idx="72">
                  <c:v>1455955.9431739857</c:v>
                </c:pt>
                <c:pt idx="73">
                  <c:v>1458424.3083083231</c:v>
                </c:pt>
                <c:pt idx="74">
                  <c:v>1450246.6660988904</c:v>
                </c:pt>
                <c:pt idx="75">
                  <c:v>1447416.774926017</c:v>
                </c:pt>
                <c:pt idx="76">
                  <c:v>1442685.6541241787</c:v>
                </c:pt>
                <c:pt idx="77">
                  <c:v>1432956.3489359415</c:v>
                </c:pt>
                <c:pt idx="78">
                  <c:v>1420130.9556664089</c:v>
                </c:pt>
                <c:pt idx="79">
                  <c:v>1401032.4385646721</c:v>
                </c:pt>
                <c:pt idx="80">
                  <c:v>1397195.5032266025</c:v>
                </c:pt>
                <c:pt idx="81">
                  <c:v>1400617.9775977398</c:v>
                </c:pt>
                <c:pt idx="82">
                  <c:v>1405653.7048176166</c:v>
                </c:pt>
                <c:pt idx="83">
                  <c:v>1402967.0906901562</c:v>
                </c:pt>
                <c:pt idx="84">
                  <c:v>1392938.0130833543</c:v>
                </c:pt>
                <c:pt idx="85">
                  <c:v>1377914.8849533848</c:v>
                </c:pt>
                <c:pt idx="86">
                  <c:v>1371325.6035400897</c:v>
                </c:pt>
                <c:pt idx="87">
                  <c:v>1361731.1299808237</c:v>
                </c:pt>
                <c:pt idx="88">
                  <c:v>1356756.3461206062</c:v>
                </c:pt>
                <c:pt idx="89">
                  <c:v>1356864.7757302434</c:v>
                </c:pt>
                <c:pt idx="90">
                  <c:v>1357292.984955336</c:v>
                </c:pt>
                <c:pt idx="91">
                  <c:v>1356979.3711280229</c:v>
                </c:pt>
                <c:pt idx="92">
                  <c:v>1363138.4299574434</c:v>
                </c:pt>
                <c:pt idx="93">
                  <c:v>1373064.5424490736</c:v>
                </c:pt>
                <c:pt idx="94">
                  <c:v>1374856.2367247387</c:v>
                </c:pt>
                <c:pt idx="95">
                  <c:v>1369145.212983082</c:v>
                </c:pt>
                <c:pt idx="96">
                  <c:v>0</c:v>
                </c:pt>
                <c:pt idx="97">
                  <c:v>0</c:v>
                </c:pt>
              </c:numCache>
            </c:numRef>
          </c:yVal>
          <c:smooth val="1"/>
          <c:extLst>
            <c:ext xmlns:c16="http://schemas.microsoft.com/office/drawing/2014/chart" uri="{C3380CC4-5D6E-409C-BE32-E72D297353CC}">
              <c16:uniqueId val="{00000001-F0F6-4DC5-AC81-04CAF4264FFF}"/>
            </c:ext>
          </c:extLst>
        </c:ser>
        <c:ser>
          <c:idx val="3"/>
          <c:order val="2"/>
          <c:tx>
            <c:strRef>
              <c:f>calc!$E$1</c:f>
              <c:strCache>
                <c:ptCount val="1"/>
                <c:pt idx="0">
                  <c:v>11B</c:v>
                </c:pt>
              </c:strCache>
            </c:strRef>
          </c:tx>
          <c:spPr>
            <a:ln w="38100">
              <a:solidFill>
                <a:schemeClr val="tx2">
                  <a:lumMod val="75000"/>
                </a:schemeClr>
              </a:solidFill>
              <a:prstDash val="solid"/>
            </a:ln>
          </c:spPr>
          <c:marker>
            <c:symbol val="diamond"/>
            <c:size val="9"/>
            <c:spPr>
              <a:solidFill>
                <a:schemeClr val="tx2">
                  <a:lumMod val="75000"/>
                </a:schemeClr>
              </a:solidFill>
              <a:ln>
                <a:solidFill>
                  <a:schemeClr val="tx2">
                    <a:lumMod val="75000"/>
                  </a:schemeClr>
                </a:solidFill>
              </a:ln>
            </c:spPr>
          </c:marker>
          <c:xVal>
            <c:numRef>
              <c:f>calc!$AJ$3:$AJ$100</c:f>
              <c:numCache>
                <c:formatCode>0.0</c:formatCode>
                <c:ptCount val="98"/>
                <c:pt idx="0">
                  <c:v>0.4083199999995486</c:v>
                </c:pt>
                <c:pt idx="1">
                  <c:v>0.47615999999970882</c:v>
                </c:pt>
                <c:pt idx="2">
                  <c:v>0.54425599999967744</c:v>
                </c:pt>
                <c:pt idx="3">
                  <c:v>0.61235199999964607</c:v>
                </c:pt>
                <c:pt idx="4">
                  <c:v>0.68044799999961469</c:v>
                </c:pt>
                <c:pt idx="5">
                  <c:v>0.74854399999958332</c:v>
                </c:pt>
                <c:pt idx="6">
                  <c:v>0.8168959999998151</c:v>
                </c:pt>
                <c:pt idx="7">
                  <c:v>0.88499199999932898</c:v>
                </c:pt>
                <c:pt idx="8">
                  <c:v>0.95283199999994395</c:v>
                </c:pt>
                <c:pt idx="9">
                  <c:v>1.0209279999999126</c:v>
                </c:pt>
                <c:pt idx="10">
                  <c:v>1.0892799999996896</c:v>
                </c:pt>
                <c:pt idx="11">
                  <c:v>1.1571199999993951</c:v>
                </c:pt>
                <c:pt idx="12">
                  <c:v>1.2252159999998185</c:v>
                </c:pt>
                <c:pt idx="13">
                  <c:v>1.2930559999999787</c:v>
                </c:pt>
                <c:pt idx="14">
                  <c:v>1.3611519999994925</c:v>
                </c:pt>
                <c:pt idx="15">
                  <c:v>1.4292479999994612</c:v>
                </c:pt>
                <c:pt idx="16">
                  <c:v>1.497599999999693</c:v>
                </c:pt>
                <c:pt idx="17">
                  <c:v>1.5656959999996616</c:v>
                </c:pt>
                <c:pt idx="18">
                  <c:v>1.6337919999996302</c:v>
                </c:pt>
                <c:pt idx="19">
                  <c:v>1.7018879999995988</c:v>
                </c:pt>
                <c:pt idx="20">
                  <c:v>1.769727999999759</c:v>
                </c:pt>
                <c:pt idx="21">
                  <c:v>1.8378239999997277</c:v>
                </c:pt>
                <c:pt idx="22">
                  <c:v>1.9059199999996963</c:v>
                </c:pt>
                <c:pt idx="23">
                  <c:v>1.9740159999996649</c:v>
                </c:pt>
                <c:pt idx="24">
                  <c:v>2.041599999999562</c:v>
                </c:pt>
                <c:pt idx="25">
                  <c:v>2.1096959999999854</c:v>
                </c:pt>
                <c:pt idx="26">
                  <c:v>2.1780479999997624</c:v>
                </c:pt>
                <c:pt idx="27">
                  <c:v>2.246143999999731</c:v>
                </c:pt>
                <c:pt idx="28">
                  <c:v>2.3142399999996996</c:v>
                </c:pt>
                <c:pt idx="29">
                  <c:v>2.3823359999996683</c:v>
                </c:pt>
                <c:pt idx="30">
                  <c:v>2.4506879999994453</c:v>
                </c:pt>
                <c:pt idx="31">
                  <c:v>2.5187839999998687</c:v>
                </c:pt>
                <c:pt idx="32">
                  <c:v>2.5868799999998373</c:v>
                </c:pt>
                <c:pt idx="33">
                  <c:v>2.6547199999995428</c:v>
                </c:pt>
                <c:pt idx="34">
                  <c:v>2.7228159999995114</c:v>
                </c:pt>
                <c:pt idx="35">
                  <c:v>2.7911679999992884</c:v>
                </c:pt>
                <c:pt idx="36">
                  <c:v>2.8592639999997118</c:v>
                </c:pt>
                <c:pt idx="37">
                  <c:v>2.9273599999996804</c:v>
                </c:pt>
                <c:pt idx="38">
                  <c:v>2.9949439999995775</c:v>
                </c:pt>
                <c:pt idx="39">
                  <c:v>3.0630399999995461</c:v>
                </c:pt>
                <c:pt idx="40">
                  <c:v>3.1311359999999695</c:v>
                </c:pt>
                <c:pt idx="41">
                  <c:v>3.1992319999999381</c:v>
                </c:pt>
                <c:pt idx="42">
                  <c:v>3.267327999999452</c:v>
                </c:pt>
                <c:pt idx="43">
                  <c:v>3.3351679999996122</c:v>
                </c:pt>
                <c:pt idx="44">
                  <c:v>3.4032640000000356</c:v>
                </c:pt>
                <c:pt idx="45">
                  <c:v>3.4713599999995495</c:v>
                </c:pt>
                <c:pt idx="46">
                  <c:v>3.5394559999995181</c:v>
                </c:pt>
                <c:pt idx="47">
                  <c:v>3.6075519999994867</c:v>
                </c:pt>
                <c:pt idx="48">
                  <c:v>3.6753920000001017</c:v>
                </c:pt>
                <c:pt idx="49">
                  <c:v>3.7434879999996156</c:v>
                </c:pt>
                <c:pt idx="50">
                  <c:v>3.8115839999995842</c:v>
                </c:pt>
                <c:pt idx="51">
                  <c:v>3.8796799999995528</c:v>
                </c:pt>
                <c:pt idx="52">
                  <c:v>3.9477759999995214</c:v>
                </c:pt>
                <c:pt idx="53">
                  <c:v>4.0156159999996817</c:v>
                </c:pt>
                <c:pt idx="54">
                  <c:v>4.0837119999996503</c:v>
                </c:pt>
                <c:pt idx="55">
                  <c:v>4.1518079999996189</c:v>
                </c:pt>
                <c:pt idx="56">
                  <c:v>4.2201599999993959</c:v>
                </c:pt>
                <c:pt idx="57">
                  <c:v>4.2882559999993646</c:v>
                </c:pt>
                <c:pt idx="58">
                  <c:v>4.3563519999997879</c:v>
                </c:pt>
                <c:pt idx="59">
                  <c:v>4.4244479999997566</c:v>
                </c:pt>
                <c:pt idx="60">
                  <c:v>4.4925439999997252</c:v>
                </c:pt>
                <c:pt idx="61">
                  <c:v>4.5603839999994307</c:v>
                </c:pt>
                <c:pt idx="62">
                  <c:v>4.628479999999854</c:v>
                </c:pt>
                <c:pt idx="63">
                  <c:v>4.6965759999998227</c:v>
                </c:pt>
                <c:pt idx="64">
                  <c:v>4.7641599999997197</c:v>
                </c:pt>
                <c:pt idx="65">
                  <c:v>4.8327679999997599</c:v>
                </c:pt>
                <c:pt idx="66">
                  <c:v>4.9006079999999201</c:v>
                </c:pt>
                <c:pt idx="67">
                  <c:v>4.9687039999998888</c:v>
                </c:pt>
                <c:pt idx="68">
                  <c:v>5.0367999999998574</c:v>
                </c:pt>
                <c:pt idx="69">
                  <c:v>5.104895999999826</c:v>
                </c:pt>
                <c:pt idx="70">
                  <c:v>5.1729919999993399</c:v>
                </c:pt>
                <c:pt idx="71">
                  <c:v>5.2408319999999549</c:v>
                </c:pt>
                <c:pt idx="72">
                  <c:v>5.3089279999999235</c:v>
                </c:pt>
                <c:pt idx="73">
                  <c:v>5.3770239999994374</c:v>
                </c:pt>
                <c:pt idx="74">
                  <c:v>5.445119999999406</c:v>
                </c:pt>
                <c:pt idx="75">
                  <c:v>5.5132159999998294</c:v>
                </c:pt>
                <c:pt idx="76">
                  <c:v>5.5810559999995348</c:v>
                </c:pt>
                <c:pt idx="77">
                  <c:v>5.6491519999995035</c:v>
                </c:pt>
                <c:pt idx="78">
                  <c:v>5.7172479999994721</c:v>
                </c:pt>
                <c:pt idx="79">
                  <c:v>5.7853439999994407</c:v>
                </c:pt>
                <c:pt idx="80">
                  <c:v>5.8534399999998641</c:v>
                </c:pt>
                <c:pt idx="81">
                  <c:v>5.9212799999995696</c:v>
                </c:pt>
                <c:pt idx="82">
                  <c:v>5.9893759999995382</c:v>
                </c:pt>
                <c:pt idx="83">
                  <c:v>6.0574719999995068</c:v>
                </c:pt>
                <c:pt idx="84">
                  <c:v>6.1250559999998586</c:v>
                </c:pt>
                <c:pt idx="85">
                  <c:v>6.1931519999998272</c:v>
                </c:pt>
                <c:pt idx="86">
                  <c:v>6.2612479999993411</c:v>
                </c:pt>
                <c:pt idx="87">
                  <c:v>6.3295999999995729</c:v>
                </c:pt>
                <c:pt idx="88">
                  <c:v>6.3974399999997331</c:v>
                </c:pt>
                <c:pt idx="89">
                  <c:v>6.4657919999999649</c:v>
                </c:pt>
                <c:pt idx="90">
                  <c:v>6.5338879999994788</c:v>
                </c:pt>
                <c:pt idx="91">
                  <c:v>6.601727999999639</c:v>
                </c:pt>
                <c:pt idx="92">
                  <c:v>6.6698240000000624</c:v>
                </c:pt>
                <c:pt idx="93">
                  <c:v>6.737920000000031</c:v>
                </c:pt>
                <c:pt idx="94">
                  <c:v>6.806271999999808</c:v>
                </c:pt>
                <c:pt idx="95">
                  <c:v>6.8743679999997767</c:v>
                </c:pt>
                <c:pt idx="96">
                  <c:v>#N/A</c:v>
                </c:pt>
                <c:pt idx="97">
                  <c:v>#N/A</c:v>
                </c:pt>
              </c:numCache>
            </c:numRef>
          </c:xVal>
          <c:yVal>
            <c:numRef>
              <c:f>calc!$C$3:$C$100</c:f>
              <c:numCache>
                <c:formatCode>0</c:formatCode>
                <c:ptCount val="98"/>
                <c:pt idx="0">
                  <c:v>4056.6138929901099</c:v>
                </c:pt>
                <c:pt idx="1">
                  <c:v>841.31742646309067</c:v>
                </c:pt>
                <c:pt idx="2">
                  <c:v>-1436.8277447220789</c:v>
                </c:pt>
                <c:pt idx="3">
                  <c:v>-735.33496240778186</c:v>
                </c:pt>
                <c:pt idx="4">
                  <c:v>466.2901778755986</c:v>
                </c:pt>
                <c:pt idx="5">
                  <c:v>2546.1517424047925</c:v>
                </c:pt>
                <c:pt idx="6">
                  <c:v>-2406.3164987865966</c:v>
                </c:pt>
                <c:pt idx="7">
                  <c:v>732.2230612518797</c:v>
                </c:pt>
                <c:pt idx="8">
                  <c:v>-163.29852101823781</c:v>
                </c:pt>
                <c:pt idx="9">
                  <c:v>-566.76183047817176</c:v>
                </c:pt>
                <c:pt idx="10">
                  <c:v>-74.489962323590589</c:v>
                </c:pt>
                <c:pt idx="11">
                  <c:v>1583.2594777231207</c:v>
                </c:pt>
                <c:pt idx="12">
                  <c:v>1790.4869634830648</c:v>
                </c:pt>
                <c:pt idx="13">
                  <c:v>76.126746577167069</c:v>
                </c:pt>
                <c:pt idx="14">
                  <c:v>827.68148261220995</c:v>
                </c:pt>
                <c:pt idx="15">
                  <c:v>161.52881135324787</c:v>
                </c:pt>
                <c:pt idx="16">
                  <c:v>483.64750738865405</c:v>
                </c:pt>
                <c:pt idx="17">
                  <c:v>428.018620808165</c:v>
                </c:pt>
                <c:pt idx="18">
                  <c:v>-1749.7345814787332</c:v>
                </c:pt>
                <c:pt idx="19">
                  <c:v>1100.8692015508277</c:v>
                </c:pt>
                <c:pt idx="20">
                  <c:v>1353.5267492822786</c:v>
                </c:pt>
                <c:pt idx="21">
                  <c:v>-566.03078935424492</c:v>
                </c:pt>
                <c:pt idx="22">
                  <c:v>3135.3943664408725</c:v>
                </c:pt>
                <c:pt idx="23">
                  <c:v>3179.6929765591303</c:v>
                </c:pt>
                <c:pt idx="24">
                  <c:v>-2812.8301892110612</c:v>
                </c:pt>
                <c:pt idx="25">
                  <c:v>-1168.449673814368</c:v>
                </c:pt>
                <c:pt idx="26">
                  <c:v>1790.4879670180235</c:v>
                </c:pt>
                <c:pt idx="27">
                  <c:v>992.28382681987205</c:v>
                </c:pt>
                <c:pt idx="28">
                  <c:v>-729.02497937221051</c:v>
                </c:pt>
                <c:pt idx="29">
                  <c:v>-1634.59749662779</c:v>
                </c:pt>
                <c:pt idx="30">
                  <c:v>-201.28005134517298</c:v>
                </c:pt>
                <c:pt idx="31">
                  <c:v>482.62772457822939</c:v>
                </c:pt>
                <c:pt idx="32">
                  <c:v>1373.6922521522065</c:v>
                </c:pt>
                <c:pt idx="33">
                  <c:v>-842.27143881088341</c:v>
                </c:pt>
                <c:pt idx="34">
                  <c:v>302.82302471164439</c:v>
                </c:pt>
                <c:pt idx="35">
                  <c:v>2188.0166315750903</c:v>
                </c:pt>
                <c:pt idx="36">
                  <c:v>1588.3960658081342</c:v>
                </c:pt>
                <c:pt idx="37">
                  <c:v>-1678.06459010857</c:v>
                </c:pt>
                <c:pt idx="38">
                  <c:v>-831.56432327095172</c:v>
                </c:pt>
                <c:pt idx="39">
                  <c:v>698.82297619009842</c:v>
                </c:pt>
                <c:pt idx="40">
                  <c:v>909.10773835999498</c:v>
                </c:pt>
                <c:pt idx="41">
                  <c:v>1595.6511686968734</c:v>
                </c:pt>
                <c:pt idx="42">
                  <c:v>646.0416114312975</c:v>
                </c:pt>
                <c:pt idx="43">
                  <c:v>-307.49660680080706</c:v>
                </c:pt>
                <c:pt idx="44">
                  <c:v>-1830.1118161560244</c:v>
                </c:pt>
                <c:pt idx="45">
                  <c:v>-2495.4390569789248</c:v>
                </c:pt>
                <c:pt idx="46">
                  <c:v>2545.4724971617106</c:v>
                </c:pt>
                <c:pt idx="47">
                  <c:v>3310.5224502299425</c:v>
                </c:pt>
                <c:pt idx="48">
                  <c:v>968.89264917960099</c:v>
                </c:pt>
                <c:pt idx="49">
                  <c:v>1805.2350991889507</c:v>
                </c:pt>
                <c:pt idx="50">
                  <c:v>2144.8948992227088</c:v>
                </c:pt>
                <c:pt idx="51">
                  <c:v>-1649.8995752508927</c:v>
                </c:pt>
                <c:pt idx="52">
                  <c:v>286.29994423053722</c:v>
                </c:pt>
                <c:pt idx="53">
                  <c:v>1767.3686528099242</c:v>
                </c:pt>
                <c:pt idx="54">
                  <c:v>-308.48568157744739</c:v>
                </c:pt>
                <c:pt idx="55">
                  <c:v>-615.85696225868014</c:v>
                </c:pt>
                <c:pt idx="56">
                  <c:v>-2445.7915362623426</c:v>
                </c:pt>
                <c:pt idx="57">
                  <c:v>416.15414484082066</c:v>
                </c:pt>
                <c:pt idx="58">
                  <c:v>1340.8859783096304</c:v>
                </c:pt>
                <c:pt idx="59">
                  <c:v>-255.65735201288044</c:v>
                </c:pt>
                <c:pt idx="60">
                  <c:v>950.67463822347781</c:v>
                </c:pt>
                <c:pt idx="61">
                  <c:v>1704.6656190095746</c:v>
                </c:pt>
                <c:pt idx="62">
                  <c:v>-480.60435348559258</c:v>
                </c:pt>
                <c:pt idx="63">
                  <c:v>291.81880001986428</c:v>
                </c:pt>
                <c:pt idx="64">
                  <c:v>222.38739792295019</c:v>
                </c:pt>
                <c:pt idx="65">
                  <c:v>-357.21321801412341</c:v>
                </c:pt>
                <c:pt idx="66">
                  <c:v>-533.60049376878669</c:v>
                </c:pt>
                <c:pt idx="67">
                  <c:v>490.00818505720235</c:v>
                </c:pt>
                <c:pt idx="68">
                  <c:v>2569.0883951837277</c:v>
                </c:pt>
                <c:pt idx="69">
                  <c:v>3852.6217818272235</c:v>
                </c:pt>
                <c:pt idx="70">
                  <c:v>1150.227520032091</c:v>
                </c:pt>
                <c:pt idx="71">
                  <c:v>-1815.3959037891073</c:v>
                </c:pt>
                <c:pt idx="72">
                  <c:v>369.55075341685006</c:v>
                </c:pt>
                <c:pt idx="73">
                  <c:v>2197.438867050314</c:v>
                </c:pt>
                <c:pt idx="74">
                  <c:v>-379.25716535100582</c:v>
                </c:pt>
                <c:pt idx="75">
                  <c:v>-490.65923795206618</c:v>
                </c:pt>
                <c:pt idx="76">
                  <c:v>2796.0134610274836</c:v>
                </c:pt>
                <c:pt idx="77">
                  <c:v>-312.51931272034926</c:v>
                </c:pt>
                <c:pt idx="78">
                  <c:v>36.429675356732332</c:v>
                </c:pt>
                <c:pt idx="79">
                  <c:v>1081.9886863921602</c:v>
                </c:pt>
                <c:pt idx="80">
                  <c:v>1741.9302787835295</c:v>
                </c:pt>
                <c:pt idx="81">
                  <c:v>566.7654721597828</c:v>
                </c:pt>
                <c:pt idx="82">
                  <c:v>3542.530964531561</c:v>
                </c:pt>
                <c:pt idx="83">
                  <c:v>594.21742722336421</c:v>
                </c:pt>
                <c:pt idx="84">
                  <c:v>529.1203301167443</c:v>
                </c:pt>
                <c:pt idx="85">
                  <c:v>275.28022258424244</c:v>
                </c:pt>
                <c:pt idx="86">
                  <c:v>-41.818637799020507</c:v>
                </c:pt>
                <c:pt idx="87">
                  <c:v>1376.1905545353002</c:v>
                </c:pt>
                <c:pt idx="88">
                  <c:v>626.02828732938724</c:v>
                </c:pt>
                <c:pt idx="89">
                  <c:v>1215.057990669844</c:v>
                </c:pt>
                <c:pt idx="90">
                  <c:v>767.62778068508487</c:v>
                </c:pt>
                <c:pt idx="91">
                  <c:v>672.16752527518474</c:v>
                </c:pt>
                <c:pt idx="92">
                  <c:v>83.944455470838875</c:v>
                </c:pt>
                <c:pt idx="93">
                  <c:v>80.867987875248218</c:v>
                </c:pt>
                <c:pt idx="94">
                  <c:v>744.48946328681268</c:v>
                </c:pt>
                <c:pt idx="95">
                  <c:v>1305.0422767041891</c:v>
                </c:pt>
                <c:pt idx="96">
                  <c:v>0</c:v>
                </c:pt>
                <c:pt idx="97">
                  <c:v>0</c:v>
                </c:pt>
              </c:numCache>
            </c:numRef>
          </c:yVal>
          <c:smooth val="1"/>
          <c:extLst>
            <c:ext xmlns:c16="http://schemas.microsoft.com/office/drawing/2014/chart" uri="{C3380CC4-5D6E-409C-BE32-E72D297353CC}">
              <c16:uniqueId val="{00000002-F0F6-4DC5-AC81-04CAF4264FFF}"/>
            </c:ext>
          </c:extLst>
        </c:ser>
        <c:ser>
          <c:idx val="4"/>
          <c:order val="3"/>
          <c:tx>
            <c:strRef>
              <c:f>calc!$F$1</c:f>
              <c:strCache>
                <c:ptCount val="1"/>
                <c:pt idx="0">
                  <c:v>11B bul</c:v>
                </c:pt>
              </c:strCache>
            </c:strRef>
          </c:tx>
          <c:spPr>
            <a:ln w="38100">
              <a:solidFill>
                <a:srgbClr val="00B0F0"/>
              </a:solidFill>
              <a:prstDash val="solid"/>
            </a:ln>
          </c:spPr>
          <c:marker>
            <c:symbol val="square"/>
            <c:size val="8"/>
          </c:marker>
          <c:xVal>
            <c:numRef>
              <c:f>calc!$AJ$3:$AJ$100</c:f>
              <c:numCache>
                <c:formatCode>0.0</c:formatCode>
                <c:ptCount val="98"/>
                <c:pt idx="0">
                  <c:v>0.4083199999995486</c:v>
                </c:pt>
                <c:pt idx="1">
                  <c:v>0.47615999999970882</c:v>
                </c:pt>
                <c:pt idx="2">
                  <c:v>0.54425599999967744</c:v>
                </c:pt>
                <c:pt idx="3">
                  <c:v>0.61235199999964607</c:v>
                </c:pt>
                <c:pt idx="4">
                  <c:v>0.68044799999961469</c:v>
                </c:pt>
                <c:pt idx="5">
                  <c:v>0.74854399999958332</c:v>
                </c:pt>
                <c:pt idx="6">
                  <c:v>0.8168959999998151</c:v>
                </c:pt>
                <c:pt idx="7">
                  <c:v>0.88499199999932898</c:v>
                </c:pt>
                <c:pt idx="8">
                  <c:v>0.95283199999994395</c:v>
                </c:pt>
                <c:pt idx="9">
                  <c:v>1.0209279999999126</c:v>
                </c:pt>
                <c:pt idx="10">
                  <c:v>1.0892799999996896</c:v>
                </c:pt>
                <c:pt idx="11">
                  <c:v>1.1571199999993951</c:v>
                </c:pt>
                <c:pt idx="12">
                  <c:v>1.2252159999998185</c:v>
                </c:pt>
                <c:pt idx="13">
                  <c:v>1.2930559999999787</c:v>
                </c:pt>
                <c:pt idx="14">
                  <c:v>1.3611519999994925</c:v>
                </c:pt>
                <c:pt idx="15">
                  <c:v>1.4292479999994612</c:v>
                </c:pt>
                <c:pt idx="16">
                  <c:v>1.497599999999693</c:v>
                </c:pt>
                <c:pt idx="17">
                  <c:v>1.5656959999996616</c:v>
                </c:pt>
                <c:pt idx="18">
                  <c:v>1.6337919999996302</c:v>
                </c:pt>
                <c:pt idx="19">
                  <c:v>1.7018879999995988</c:v>
                </c:pt>
                <c:pt idx="20">
                  <c:v>1.769727999999759</c:v>
                </c:pt>
                <c:pt idx="21">
                  <c:v>1.8378239999997277</c:v>
                </c:pt>
                <c:pt idx="22">
                  <c:v>1.9059199999996963</c:v>
                </c:pt>
                <c:pt idx="23">
                  <c:v>1.9740159999996649</c:v>
                </c:pt>
                <c:pt idx="24">
                  <c:v>2.041599999999562</c:v>
                </c:pt>
                <c:pt idx="25">
                  <c:v>2.1096959999999854</c:v>
                </c:pt>
                <c:pt idx="26">
                  <c:v>2.1780479999997624</c:v>
                </c:pt>
                <c:pt idx="27">
                  <c:v>2.246143999999731</c:v>
                </c:pt>
                <c:pt idx="28">
                  <c:v>2.3142399999996996</c:v>
                </c:pt>
                <c:pt idx="29">
                  <c:v>2.3823359999996683</c:v>
                </c:pt>
                <c:pt idx="30">
                  <c:v>2.4506879999994453</c:v>
                </c:pt>
                <c:pt idx="31">
                  <c:v>2.5187839999998687</c:v>
                </c:pt>
                <c:pt idx="32">
                  <c:v>2.5868799999998373</c:v>
                </c:pt>
                <c:pt idx="33">
                  <c:v>2.6547199999995428</c:v>
                </c:pt>
                <c:pt idx="34">
                  <c:v>2.7228159999995114</c:v>
                </c:pt>
                <c:pt idx="35">
                  <c:v>2.7911679999992884</c:v>
                </c:pt>
                <c:pt idx="36">
                  <c:v>2.8592639999997118</c:v>
                </c:pt>
                <c:pt idx="37">
                  <c:v>2.9273599999996804</c:v>
                </c:pt>
                <c:pt idx="38">
                  <c:v>2.9949439999995775</c:v>
                </c:pt>
                <c:pt idx="39">
                  <c:v>3.0630399999995461</c:v>
                </c:pt>
                <c:pt idx="40">
                  <c:v>3.1311359999999695</c:v>
                </c:pt>
                <c:pt idx="41">
                  <c:v>3.1992319999999381</c:v>
                </c:pt>
                <c:pt idx="42">
                  <c:v>3.267327999999452</c:v>
                </c:pt>
                <c:pt idx="43">
                  <c:v>3.3351679999996122</c:v>
                </c:pt>
                <c:pt idx="44">
                  <c:v>3.4032640000000356</c:v>
                </c:pt>
                <c:pt idx="45">
                  <c:v>3.4713599999995495</c:v>
                </c:pt>
                <c:pt idx="46">
                  <c:v>3.5394559999995181</c:v>
                </c:pt>
                <c:pt idx="47">
                  <c:v>3.6075519999994867</c:v>
                </c:pt>
                <c:pt idx="48">
                  <c:v>3.6753920000001017</c:v>
                </c:pt>
                <c:pt idx="49">
                  <c:v>3.7434879999996156</c:v>
                </c:pt>
                <c:pt idx="50">
                  <c:v>3.8115839999995842</c:v>
                </c:pt>
                <c:pt idx="51">
                  <c:v>3.8796799999995528</c:v>
                </c:pt>
                <c:pt idx="52">
                  <c:v>3.9477759999995214</c:v>
                </c:pt>
                <c:pt idx="53">
                  <c:v>4.0156159999996817</c:v>
                </c:pt>
                <c:pt idx="54">
                  <c:v>4.0837119999996503</c:v>
                </c:pt>
                <c:pt idx="55">
                  <c:v>4.1518079999996189</c:v>
                </c:pt>
                <c:pt idx="56">
                  <c:v>4.2201599999993959</c:v>
                </c:pt>
                <c:pt idx="57">
                  <c:v>4.2882559999993646</c:v>
                </c:pt>
                <c:pt idx="58">
                  <c:v>4.3563519999997879</c:v>
                </c:pt>
                <c:pt idx="59">
                  <c:v>4.4244479999997566</c:v>
                </c:pt>
                <c:pt idx="60">
                  <c:v>4.4925439999997252</c:v>
                </c:pt>
                <c:pt idx="61">
                  <c:v>4.5603839999994307</c:v>
                </c:pt>
                <c:pt idx="62">
                  <c:v>4.628479999999854</c:v>
                </c:pt>
                <c:pt idx="63">
                  <c:v>4.6965759999998227</c:v>
                </c:pt>
                <c:pt idx="64">
                  <c:v>4.7641599999997197</c:v>
                </c:pt>
                <c:pt idx="65">
                  <c:v>4.8327679999997599</c:v>
                </c:pt>
                <c:pt idx="66">
                  <c:v>4.9006079999999201</c:v>
                </c:pt>
                <c:pt idx="67">
                  <c:v>4.9687039999998888</c:v>
                </c:pt>
                <c:pt idx="68">
                  <c:v>5.0367999999998574</c:v>
                </c:pt>
                <c:pt idx="69">
                  <c:v>5.104895999999826</c:v>
                </c:pt>
                <c:pt idx="70">
                  <c:v>5.1729919999993399</c:v>
                </c:pt>
                <c:pt idx="71">
                  <c:v>5.2408319999999549</c:v>
                </c:pt>
                <c:pt idx="72">
                  <c:v>5.3089279999999235</c:v>
                </c:pt>
                <c:pt idx="73">
                  <c:v>5.3770239999994374</c:v>
                </c:pt>
                <c:pt idx="74">
                  <c:v>5.445119999999406</c:v>
                </c:pt>
                <c:pt idx="75">
                  <c:v>5.5132159999998294</c:v>
                </c:pt>
                <c:pt idx="76">
                  <c:v>5.5810559999995348</c:v>
                </c:pt>
                <c:pt idx="77">
                  <c:v>5.6491519999995035</c:v>
                </c:pt>
                <c:pt idx="78">
                  <c:v>5.7172479999994721</c:v>
                </c:pt>
                <c:pt idx="79">
                  <c:v>5.7853439999994407</c:v>
                </c:pt>
                <c:pt idx="80">
                  <c:v>5.8534399999998641</c:v>
                </c:pt>
                <c:pt idx="81">
                  <c:v>5.9212799999995696</c:v>
                </c:pt>
                <c:pt idx="82">
                  <c:v>5.9893759999995382</c:v>
                </c:pt>
                <c:pt idx="83">
                  <c:v>6.0574719999995068</c:v>
                </c:pt>
                <c:pt idx="84">
                  <c:v>6.1250559999998586</c:v>
                </c:pt>
                <c:pt idx="85">
                  <c:v>6.1931519999998272</c:v>
                </c:pt>
                <c:pt idx="86">
                  <c:v>6.2612479999993411</c:v>
                </c:pt>
                <c:pt idx="87">
                  <c:v>6.3295999999995729</c:v>
                </c:pt>
                <c:pt idx="88">
                  <c:v>6.3974399999997331</c:v>
                </c:pt>
                <c:pt idx="89">
                  <c:v>6.4657919999999649</c:v>
                </c:pt>
                <c:pt idx="90">
                  <c:v>6.5338879999994788</c:v>
                </c:pt>
                <c:pt idx="91">
                  <c:v>6.601727999999639</c:v>
                </c:pt>
                <c:pt idx="92">
                  <c:v>6.6698240000000624</c:v>
                </c:pt>
                <c:pt idx="93">
                  <c:v>6.737920000000031</c:v>
                </c:pt>
                <c:pt idx="94">
                  <c:v>6.806271999999808</c:v>
                </c:pt>
                <c:pt idx="95">
                  <c:v>6.8743679999997767</c:v>
                </c:pt>
                <c:pt idx="96">
                  <c:v>#N/A</c:v>
                </c:pt>
                <c:pt idx="97">
                  <c:v>#N/A</c:v>
                </c:pt>
              </c:numCache>
            </c:numRef>
          </c:xVal>
          <c:yVal>
            <c:numRef>
              <c:f>calc!$D$3:$D$100</c:f>
              <c:numCache>
                <c:formatCode>0</c:formatCode>
                <c:ptCount val="98"/>
                <c:pt idx="0">
                  <c:v>1829.2590618714546</c:v>
                </c:pt>
                <c:pt idx="1">
                  <c:v>8.4880953563316552</c:v>
                </c:pt>
                <c:pt idx="2">
                  <c:v>1603.4726767147231</c:v>
                </c:pt>
                <c:pt idx="3">
                  <c:v>1660.3847059603884</c:v>
                </c:pt>
                <c:pt idx="4">
                  <c:v>762.45741639446635</c:v>
                </c:pt>
                <c:pt idx="5">
                  <c:v>2118.5408058025355</c:v>
                </c:pt>
                <c:pt idx="6">
                  <c:v>213.50439028187202</c:v>
                </c:pt>
                <c:pt idx="7">
                  <c:v>1069.150212358963</c:v>
                </c:pt>
                <c:pt idx="8">
                  <c:v>326.80604499384987</c:v>
                </c:pt>
                <c:pt idx="9">
                  <c:v>-1220.3525771113871</c:v>
                </c:pt>
                <c:pt idx="10">
                  <c:v>-14.62832534848031</c:v>
                </c:pt>
                <c:pt idx="11">
                  <c:v>2066.4016963196145</c:v>
                </c:pt>
                <c:pt idx="12">
                  <c:v>1269.2799195441928</c:v>
                </c:pt>
                <c:pt idx="13">
                  <c:v>849.55016983650489</c:v>
                </c:pt>
                <c:pt idx="14">
                  <c:v>1232.7135690126286</c:v>
                </c:pt>
                <c:pt idx="15">
                  <c:v>7.44420285141004</c:v>
                </c:pt>
                <c:pt idx="16">
                  <c:v>-829.60548162024384</c:v>
                </c:pt>
                <c:pt idx="17">
                  <c:v>1334.1856414926465</c:v>
                </c:pt>
                <c:pt idx="18">
                  <c:v>752.93010780912891</c:v>
                </c:pt>
                <c:pt idx="19">
                  <c:v>1358.6070338242723</c:v>
                </c:pt>
                <c:pt idx="20">
                  <c:v>428.04539761954572</c:v>
                </c:pt>
                <c:pt idx="21">
                  <c:v>38.000451685347628</c:v>
                </c:pt>
                <c:pt idx="22">
                  <c:v>2550.9138849544224</c:v>
                </c:pt>
                <c:pt idx="23">
                  <c:v>1004.4788606985401</c:v>
                </c:pt>
                <c:pt idx="24">
                  <c:v>-508.1899414199404</c:v>
                </c:pt>
                <c:pt idx="25">
                  <c:v>80.61407348065427</c:v>
                </c:pt>
                <c:pt idx="26">
                  <c:v>1684.590625189499</c:v>
                </c:pt>
                <c:pt idx="27">
                  <c:v>1800.4090265946909</c:v>
                </c:pt>
                <c:pt idx="28">
                  <c:v>62.564256942006068</c:v>
                </c:pt>
                <c:pt idx="29">
                  <c:v>-1763.2117980446328</c:v>
                </c:pt>
                <c:pt idx="30">
                  <c:v>-18.275399568624664</c:v>
                </c:pt>
                <c:pt idx="31">
                  <c:v>2069.569844024993</c:v>
                </c:pt>
                <c:pt idx="32">
                  <c:v>1322.7961978957005</c:v>
                </c:pt>
                <c:pt idx="33">
                  <c:v>-1433.7377775639447</c:v>
                </c:pt>
                <c:pt idx="34">
                  <c:v>230.66074255357196</c:v>
                </c:pt>
                <c:pt idx="35">
                  <c:v>1224.0199140001405</c:v>
                </c:pt>
                <c:pt idx="36">
                  <c:v>736.59016480327955</c:v>
                </c:pt>
                <c:pt idx="37">
                  <c:v>1859.8155181379661</c:v>
                </c:pt>
                <c:pt idx="38">
                  <c:v>42.85208906720186</c:v>
                </c:pt>
                <c:pt idx="39">
                  <c:v>1203.5935431070372</c:v>
                </c:pt>
                <c:pt idx="40">
                  <c:v>2030.5907735190078</c:v>
                </c:pt>
                <c:pt idx="41">
                  <c:v>860.68988764119206</c:v>
                </c:pt>
                <c:pt idx="42">
                  <c:v>187.65823963752894</c:v>
                </c:pt>
                <c:pt idx="43">
                  <c:v>-981.46357895989752</c:v>
                </c:pt>
                <c:pt idx="44">
                  <c:v>-1626.0739011020542</c:v>
                </c:pt>
                <c:pt idx="45">
                  <c:v>-652.90022512195605</c:v>
                </c:pt>
                <c:pt idx="46">
                  <c:v>2475.7446323678128</c:v>
                </c:pt>
                <c:pt idx="47">
                  <c:v>1350.0368915570575</c:v>
                </c:pt>
                <c:pt idx="48">
                  <c:v>-202.14998086549474</c:v>
                </c:pt>
                <c:pt idx="49">
                  <c:v>429.80982550259705</c:v>
                </c:pt>
                <c:pt idx="50">
                  <c:v>1591.4391853159423</c:v>
                </c:pt>
                <c:pt idx="51">
                  <c:v>287.64018969568542</c:v>
                </c:pt>
                <c:pt idx="52">
                  <c:v>1913.3358686513398</c:v>
                </c:pt>
                <c:pt idx="53">
                  <c:v>1217.3881854222827</c:v>
                </c:pt>
                <c:pt idx="54">
                  <c:v>595.30075166525739</c:v>
                </c:pt>
                <c:pt idx="55">
                  <c:v>772.82714143752492</c:v>
                </c:pt>
                <c:pt idx="56">
                  <c:v>1236.8171471742385</c:v>
                </c:pt>
                <c:pt idx="57">
                  <c:v>247.70389910426599</c:v>
                </c:pt>
                <c:pt idx="58">
                  <c:v>-178.60370590635421</c:v>
                </c:pt>
                <c:pt idx="59">
                  <c:v>975.21127942016415</c:v>
                </c:pt>
                <c:pt idx="60">
                  <c:v>885.7473407856744</c:v>
                </c:pt>
                <c:pt idx="61">
                  <c:v>1975.2134243660744</c:v>
                </c:pt>
                <c:pt idx="62">
                  <c:v>364.37687415611094</c:v>
                </c:pt>
                <c:pt idx="63">
                  <c:v>805.68918395357787</c:v>
                </c:pt>
                <c:pt idx="64">
                  <c:v>1207.8118049282946</c:v>
                </c:pt>
                <c:pt idx="65">
                  <c:v>44.639204563441638</c:v>
                </c:pt>
                <c:pt idx="66">
                  <c:v>-595.19617791153473</c:v>
                </c:pt>
                <c:pt idx="67">
                  <c:v>-539.91223949111884</c:v>
                </c:pt>
                <c:pt idx="68">
                  <c:v>2764.4518619929863</c:v>
                </c:pt>
                <c:pt idx="69">
                  <c:v>2105.0926241238258</c:v>
                </c:pt>
                <c:pt idx="70">
                  <c:v>1343.2293761260653</c:v>
                </c:pt>
                <c:pt idx="71">
                  <c:v>575.05871910032124</c:v>
                </c:pt>
                <c:pt idx="72">
                  <c:v>195.74851317799391</c:v>
                </c:pt>
                <c:pt idx="73">
                  <c:v>258.34006591953334</c:v>
                </c:pt>
                <c:pt idx="74">
                  <c:v>1425.7679565902865</c:v>
                </c:pt>
                <c:pt idx="75">
                  <c:v>1051.421929739317</c:v>
                </c:pt>
                <c:pt idx="76">
                  <c:v>1100.9296286603576</c:v>
                </c:pt>
                <c:pt idx="77">
                  <c:v>-1184.321372416704</c:v>
                </c:pt>
                <c:pt idx="78">
                  <c:v>1426.9591419976323</c:v>
                </c:pt>
                <c:pt idx="79">
                  <c:v>1678.8935068902726</c:v>
                </c:pt>
                <c:pt idx="80">
                  <c:v>2164.7849499045642</c:v>
                </c:pt>
                <c:pt idx="81">
                  <c:v>1700.3943163350227</c:v>
                </c:pt>
                <c:pt idx="82">
                  <c:v>1379.9625455408225</c:v>
                </c:pt>
                <c:pt idx="83">
                  <c:v>-576.0811747814638</c:v>
                </c:pt>
                <c:pt idx="84">
                  <c:v>-210.9503815758826</c:v>
                </c:pt>
                <c:pt idx="85">
                  <c:v>1941.2091133271015</c:v>
                </c:pt>
                <c:pt idx="86">
                  <c:v>1626.3423000321156</c:v>
                </c:pt>
                <c:pt idx="87">
                  <c:v>1186.0135479975627</c:v>
                </c:pt>
                <c:pt idx="88">
                  <c:v>632.08162736118902</c:v>
                </c:pt>
                <c:pt idx="89">
                  <c:v>478.70734550462419</c:v>
                </c:pt>
                <c:pt idx="90">
                  <c:v>693.2427394020732</c:v>
                </c:pt>
                <c:pt idx="91">
                  <c:v>-145.98687801328037</c:v>
                </c:pt>
                <c:pt idx="92">
                  <c:v>-1144.167632062065</c:v>
                </c:pt>
                <c:pt idx="93">
                  <c:v>692.51263101665506</c:v>
                </c:pt>
                <c:pt idx="94">
                  <c:v>2296.8306139280294</c:v>
                </c:pt>
                <c:pt idx="95">
                  <c:v>1562.1379735188727</c:v>
                </c:pt>
                <c:pt idx="96">
                  <c:v>0</c:v>
                </c:pt>
                <c:pt idx="97">
                  <c:v>0</c:v>
                </c:pt>
              </c:numCache>
            </c:numRef>
          </c:yVal>
          <c:smooth val="1"/>
          <c:extLst>
            <c:ext xmlns:c16="http://schemas.microsoft.com/office/drawing/2014/chart" uri="{C3380CC4-5D6E-409C-BE32-E72D297353CC}">
              <c16:uniqueId val="{00000003-F0F6-4DC5-AC81-04CAF4264FFF}"/>
            </c:ext>
          </c:extLst>
        </c:ser>
        <c:ser>
          <c:idx val="0"/>
          <c:order val="4"/>
          <c:tx>
            <c:strRef>
              <c:f>calc!$G$1</c:f>
              <c:strCache>
                <c:ptCount val="1"/>
                <c:pt idx="0">
                  <c:v>10B*</c:v>
                </c:pt>
              </c:strCache>
            </c:strRef>
          </c:tx>
          <c:spPr>
            <a:ln w="38100">
              <a:solidFill>
                <a:srgbClr val="0070C0"/>
              </a:solidFill>
              <a:prstDash val="solid"/>
            </a:ln>
          </c:spPr>
          <c:marker>
            <c:symbol val="triangle"/>
            <c:size val="9"/>
            <c:spPr>
              <a:solidFill>
                <a:srgbClr val="0070C0"/>
              </a:solidFill>
              <a:ln>
                <a:solidFill>
                  <a:srgbClr val="0070C0"/>
                </a:solidFill>
              </a:ln>
            </c:spPr>
          </c:marker>
          <c:xVal>
            <c:numRef>
              <c:f>calc!$AJ$3:$AJ$100</c:f>
              <c:numCache>
                <c:formatCode>0.0</c:formatCode>
                <c:ptCount val="98"/>
                <c:pt idx="0">
                  <c:v>0.4083199999995486</c:v>
                </c:pt>
                <c:pt idx="1">
                  <c:v>0.47615999999970882</c:v>
                </c:pt>
                <c:pt idx="2">
                  <c:v>0.54425599999967744</c:v>
                </c:pt>
                <c:pt idx="3">
                  <c:v>0.61235199999964607</c:v>
                </c:pt>
                <c:pt idx="4">
                  <c:v>0.68044799999961469</c:v>
                </c:pt>
                <c:pt idx="5">
                  <c:v>0.74854399999958332</c:v>
                </c:pt>
                <c:pt idx="6">
                  <c:v>0.8168959999998151</c:v>
                </c:pt>
                <c:pt idx="7">
                  <c:v>0.88499199999932898</c:v>
                </c:pt>
                <c:pt idx="8">
                  <c:v>0.95283199999994395</c:v>
                </c:pt>
                <c:pt idx="9">
                  <c:v>1.0209279999999126</c:v>
                </c:pt>
                <c:pt idx="10">
                  <c:v>1.0892799999996896</c:v>
                </c:pt>
                <c:pt idx="11">
                  <c:v>1.1571199999993951</c:v>
                </c:pt>
                <c:pt idx="12">
                  <c:v>1.2252159999998185</c:v>
                </c:pt>
                <c:pt idx="13">
                  <c:v>1.2930559999999787</c:v>
                </c:pt>
                <c:pt idx="14">
                  <c:v>1.3611519999994925</c:v>
                </c:pt>
                <c:pt idx="15">
                  <c:v>1.4292479999994612</c:v>
                </c:pt>
                <c:pt idx="16">
                  <c:v>1.497599999999693</c:v>
                </c:pt>
                <c:pt idx="17">
                  <c:v>1.5656959999996616</c:v>
                </c:pt>
                <c:pt idx="18">
                  <c:v>1.6337919999996302</c:v>
                </c:pt>
                <c:pt idx="19">
                  <c:v>1.7018879999995988</c:v>
                </c:pt>
                <c:pt idx="20">
                  <c:v>1.769727999999759</c:v>
                </c:pt>
                <c:pt idx="21">
                  <c:v>1.8378239999997277</c:v>
                </c:pt>
                <c:pt idx="22">
                  <c:v>1.9059199999996963</c:v>
                </c:pt>
                <c:pt idx="23">
                  <c:v>1.9740159999996649</c:v>
                </c:pt>
                <c:pt idx="24">
                  <c:v>2.041599999999562</c:v>
                </c:pt>
                <c:pt idx="25">
                  <c:v>2.1096959999999854</c:v>
                </c:pt>
                <c:pt idx="26">
                  <c:v>2.1780479999997624</c:v>
                </c:pt>
                <c:pt idx="27">
                  <c:v>2.246143999999731</c:v>
                </c:pt>
                <c:pt idx="28">
                  <c:v>2.3142399999996996</c:v>
                </c:pt>
                <c:pt idx="29">
                  <c:v>2.3823359999996683</c:v>
                </c:pt>
                <c:pt idx="30">
                  <c:v>2.4506879999994453</c:v>
                </c:pt>
                <c:pt idx="31">
                  <c:v>2.5187839999998687</c:v>
                </c:pt>
                <c:pt idx="32">
                  <c:v>2.5868799999998373</c:v>
                </c:pt>
                <c:pt idx="33">
                  <c:v>2.6547199999995428</c:v>
                </c:pt>
                <c:pt idx="34">
                  <c:v>2.7228159999995114</c:v>
                </c:pt>
                <c:pt idx="35">
                  <c:v>2.7911679999992884</c:v>
                </c:pt>
                <c:pt idx="36">
                  <c:v>2.8592639999997118</c:v>
                </c:pt>
                <c:pt idx="37">
                  <c:v>2.9273599999996804</c:v>
                </c:pt>
                <c:pt idx="38">
                  <c:v>2.9949439999995775</c:v>
                </c:pt>
                <c:pt idx="39">
                  <c:v>3.0630399999995461</c:v>
                </c:pt>
                <c:pt idx="40">
                  <c:v>3.1311359999999695</c:v>
                </c:pt>
                <c:pt idx="41">
                  <c:v>3.1992319999999381</c:v>
                </c:pt>
                <c:pt idx="42">
                  <c:v>3.267327999999452</c:v>
                </c:pt>
                <c:pt idx="43">
                  <c:v>3.3351679999996122</c:v>
                </c:pt>
                <c:pt idx="44">
                  <c:v>3.4032640000000356</c:v>
                </c:pt>
                <c:pt idx="45">
                  <c:v>3.4713599999995495</c:v>
                </c:pt>
                <c:pt idx="46">
                  <c:v>3.5394559999995181</c:v>
                </c:pt>
                <c:pt idx="47">
                  <c:v>3.6075519999994867</c:v>
                </c:pt>
                <c:pt idx="48">
                  <c:v>3.6753920000001017</c:v>
                </c:pt>
                <c:pt idx="49">
                  <c:v>3.7434879999996156</c:v>
                </c:pt>
                <c:pt idx="50">
                  <c:v>3.8115839999995842</c:v>
                </c:pt>
                <c:pt idx="51">
                  <c:v>3.8796799999995528</c:v>
                </c:pt>
                <c:pt idx="52">
                  <c:v>3.9477759999995214</c:v>
                </c:pt>
                <c:pt idx="53">
                  <c:v>4.0156159999996817</c:v>
                </c:pt>
                <c:pt idx="54">
                  <c:v>4.0837119999996503</c:v>
                </c:pt>
                <c:pt idx="55">
                  <c:v>4.1518079999996189</c:v>
                </c:pt>
                <c:pt idx="56">
                  <c:v>4.2201599999993959</c:v>
                </c:pt>
                <c:pt idx="57">
                  <c:v>4.2882559999993646</c:v>
                </c:pt>
                <c:pt idx="58">
                  <c:v>4.3563519999997879</c:v>
                </c:pt>
                <c:pt idx="59">
                  <c:v>4.4244479999997566</c:v>
                </c:pt>
                <c:pt idx="60">
                  <c:v>4.4925439999997252</c:v>
                </c:pt>
                <c:pt idx="61">
                  <c:v>4.5603839999994307</c:v>
                </c:pt>
                <c:pt idx="62">
                  <c:v>4.628479999999854</c:v>
                </c:pt>
                <c:pt idx="63">
                  <c:v>4.6965759999998227</c:v>
                </c:pt>
                <c:pt idx="64">
                  <c:v>4.7641599999997197</c:v>
                </c:pt>
                <c:pt idx="65">
                  <c:v>4.8327679999997599</c:v>
                </c:pt>
                <c:pt idx="66">
                  <c:v>4.9006079999999201</c:v>
                </c:pt>
                <c:pt idx="67">
                  <c:v>4.9687039999998888</c:v>
                </c:pt>
                <c:pt idx="68">
                  <c:v>5.0367999999998574</c:v>
                </c:pt>
                <c:pt idx="69">
                  <c:v>5.104895999999826</c:v>
                </c:pt>
                <c:pt idx="70">
                  <c:v>5.1729919999993399</c:v>
                </c:pt>
                <c:pt idx="71">
                  <c:v>5.2408319999999549</c:v>
                </c:pt>
                <c:pt idx="72">
                  <c:v>5.3089279999999235</c:v>
                </c:pt>
                <c:pt idx="73">
                  <c:v>5.3770239999994374</c:v>
                </c:pt>
                <c:pt idx="74">
                  <c:v>5.445119999999406</c:v>
                </c:pt>
                <c:pt idx="75">
                  <c:v>5.5132159999998294</c:v>
                </c:pt>
                <c:pt idx="76">
                  <c:v>5.5810559999995348</c:v>
                </c:pt>
                <c:pt idx="77">
                  <c:v>5.6491519999995035</c:v>
                </c:pt>
                <c:pt idx="78">
                  <c:v>5.7172479999994721</c:v>
                </c:pt>
                <c:pt idx="79">
                  <c:v>5.7853439999994407</c:v>
                </c:pt>
                <c:pt idx="80">
                  <c:v>5.8534399999998641</c:v>
                </c:pt>
                <c:pt idx="81">
                  <c:v>5.9212799999995696</c:v>
                </c:pt>
                <c:pt idx="82">
                  <c:v>5.9893759999995382</c:v>
                </c:pt>
                <c:pt idx="83">
                  <c:v>6.0574719999995068</c:v>
                </c:pt>
                <c:pt idx="84">
                  <c:v>6.1250559999998586</c:v>
                </c:pt>
                <c:pt idx="85">
                  <c:v>6.1931519999998272</c:v>
                </c:pt>
                <c:pt idx="86">
                  <c:v>6.2612479999993411</c:v>
                </c:pt>
                <c:pt idx="87">
                  <c:v>6.3295999999995729</c:v>
                </c:pt>
                <c:pt idx="88">
                  <c:v>6.3974399999997331</c:v>
                </c:pt>
                <c:pt idx="89">
                  <c:v>6.4657919999999649</c:v>
                </c:pt>
                <c:pt idx="90">
                  <c:v>6.5338879999994788</c:v>
                </c:pt>
                <c:pt idx="91">
                  <c:v>6.601727999999639</c:v>
                </c:pt>
                <c:pt idx="92">
                  <c:v>6.6698240000000624</c:v>
                </c:pt>
                <c:pt idx="93">
                  <c:v>6.737920000000031</c:v>
                </c:pt>
                <c:pt idx="94">
                  <c:v>6.806271999999808</c:v>
                </c:pt>
                <c:pt idx="95">
                  <c:v>6.8743679999997767</c:v>
                </c:pt>
                <c:pt idx="96">
                  <c:v>#N/A</c:v>
                </c:pt>
                <c:pt idx="97">
                  <c:v>#N/A</c:v>
                </c:pt>
              </c:numCache>
            </c:numRef>
          </c:xVal>
          <c:yVal>
            <c:numRef>
              <c:f>calc!$E$3:$E$100</c:f>
              <c:numCache>
                <c:formatCode>0</c:formatCode>
                <c:ptCount val="98"/>
                <c:pt idx="0">
                  <c:v>7246510.7645636154</c:v>
                </c:pt>
                <c:pt idx="1">
                  <c:v>7412058.1605484132</c:v>
                </c:pt>
                <c:pt idx="2">
                  <c:v>7409256.1398820225</c:v>
                </c:pt>
                <c:pt idx="3">
                  <c:v>7559988.6533879759</c:v>
                </c:pt>
                <c:pt idx="4">
                  <c:v>7674786.4132622592</c:v>
                </c:pt>
                <c:pt idx="5">
                  <c:v>7337587.5009848112</c:v>
                </c:pt>
                <c:pt idx="6">
                  <c:v>7286415.2136647664</c:v>
                </c:pt>
                <c:pt idx="7">
                  <c:v>7520771.6635120371</c:v>
                </c:pt>
                <c:pt idx="8">
                  <c:v>7541542.9409901984</c:v>
                </c:pt>
                <c:pt idx="9">
                  <c:v>7344254.106869285</c:v>
                </c:pt>
                <c:pt idx="10">
                  <c:v>7309473.0172309242</c:v>
                </c:pt>
                <c:pt idx="11">
                  <c:v>7373113.9414503789</c:v>
                </c:pt>
                <c:pt idx="12">
                  <c:v>7260908.0138357561</c:v>
                </c:pt>
                <c:pt idx="13">
                  <c:v>7302453.3134633191</c:v>
                </c:pt>
                <c:pt idx="14">
                  <c:v>7245006.036329194</c:v>
                </c:pt>
                <c:pt idx="15">
                  <c:v>7212909.0398778822</c:v>
                </c:pt>
                <c:pt idx="16">
                  <c:v>7240507.6268101819</c:v>
                </c:pt>
                <c:pt idx="17">
                  <c:v>7309633.1265591504</c:v>
                </c:pt>
                <c:pt idx="18">
                  <c:v>7348890.2309191823</c:v>
                </c:pt>
                <c:pt idx="19">
                  <c:v>7323404.8257642472</c:v>
                </c:pt>
                <c:pt idx="20">
                  <c:v>7263325.7202574853</c:v>
                </c:pt>
                <c:pt idx="21">
                  <c:v>7201453.0480655562</c:v>
                </c:pt>
                <c:pt idx="22">
                  <c:v>7158872.9811762385</c:v>
                </c:pt>
                <c:pt idx="23">
                  <c:v>7153044.7127642259</c:v>
                </c:pt>
                <c:pt idx="24">
                  <c:v>7129177.2840516381</c:v>
                </c:pt>
                <c:pt idx="25">
                  <c:v>7041913.4740705919</c:v>
                </c:pt>
                <c:pt idx="26">
                  <c:v>6993684.2178022563</c:v>
                </c:pt>
                <c:pt idx="27">
                  <c:v>6949814.1394206723</c:v>
                </c:pt>
                <c:pt idx="28">
                  <c:v>6927364.588639061</c:v>
                </c:pt>
                <c:pt idx="29">
                  <c:v>6881608.884364781</c:v>
                </c:pt>
                <c:pt idx="30">
                  <c:v>6886579.3521957751</c:v>
                </c:pt>
                <c:pt idx="31">
                  <c:v>6952954.178998963</c:v>
                </c:pt>
                <c:pt idx="32">
                  <c:v>7001421.0620266227</c:v>
                </c:pt>
                <c:pt idx="33">
                  <c:v>6994790.5378353596</c:v>
                </c:pt>
                <c:pt idx="34">
                  <c:v>6920599.3346318407</c:v>
                </c:pt>
                <c:pt idx="35">
                  <c:v>6855955.631680958</c:v>
                </c:pt>
                <c:pt idx="36">
                  <c:v>6773008.1651609521</c:v>
                </c:pt>
                <c:pt idx="37">
                  <c:v>6674163.0521730529</c:v>
                </c:pt>
                <c:pt idx="38">
                  <c:v>6604937.7913621441</c:v>
                </c:pt>
                <c:pt idx="39">
                  <c:v>6615854.2773699798</c:v>
                </c:pt>
                <c:pt idx="40">
                  <c:v>6764689.5204684427</c:v>
                </c:pt>
                <c:pt idx="41">
                  <c:v>6921936.9396067485</c:v>
                </c:pt>
                <c:pt idx="42">
                  <c:v>6990170.2498110281</c:v>
                </c:pt>
                <c:pt idx="43">
                  <c:v>6944837.8703829842</c:v>
                </c:pt>
                <c:pt idx="44">
                  <c:v>6759630.490318493</c:v>
                </c:pt>
                <c:pt idx="45">
                  <c:v>6699912.2660861043</c:v>
                </c:pt>
                <c:pt idx="46">
                  <c:v>6664701.5829727007</c:v>
                </c:pt>
                <c:pt idx="47">
                  <c:v>6674956.8811998386</c:v>
                </c:pt>
                <c:pt idx="48">
                  <c:v>6700810.1811379874</c:v>
                </c:pt>
                <c:pt idx="49">
                  <c:v>6684998.4918022808</c:v>
                </c:pt>
                <c:pt idx="50">
                  <c:v>6674098.9561258275</c:v>
                </c:pt>
                <c:pt idx="51">
                  <c:v>6722500.2205930613</c:v>
                </c:pt>
                <c:pt idx="52">
                  <c:v>6735898.108735661</c:v>
                </c:pt>
                <c:pt idx="53">
                  <c:v>6749831.7038815729</c:v>
                </c:pt>
                <c:pt idx="54">
                  <c:v>6748578.1141825486</c:v>
                </c:pt>
                <c:pt idx="55">
                  <c:v>6666404.388589358</c:v>
                </c:pt>
                <c:pt idx="56">
                  <c:v>6590879.0674944678</c:v>
                </c:pt>
                <c:pt idx="57">
                  <c:v>6618334.8387501072</c:v>
                </c:pt>
                <c:pt idx="58">
                  <c:v>6663552.6490844693</c:v>
                </c:pt>
                <c:pt idx="59">
                  <c:v>6714752.2689549113</c:v>
                </c:pt>
                <c:pt idx="60">
                  <c:v>6734323.520051213</c:v>
                </c:pt>
                <c:pt idx="61">
                  <c:v>6721805.9414024688</c:v>
                </c:pt>
                <c:pt idx="62">
                  <c:v>6700546.3622461725</c:v>
                </c:pt>
                <c:pt idx="63">
                  <c:v>6705245.4429046316</c:v>
                </c:pt>
                <c:pt idx="64">
                  <c:v>6724225.8116928339</c:v>
                </c:pt>
                <c:pt idx="65">
                  <c:v>6716237.9480211604</c:v>
                </c:pt>
                <c:pt idx="66">
                  <c:v>6646887.0665240157</c:v>
                </c:pt>
                <c:pt idx="67">
                  <c:v>6563011.3175160764</c:v>
                </c:pt>
                <c:pt idx="68">
                  <c:v>6532629.3655958399</c:v>
                </c:pt>
                <c:pt idx="69">
                  <c:v>6551656.7974283714</c:v>
                </c:pt>
                <c:pt idx="70">
                  <c:v>6580674.3307843823</c:v>
                </c:pt>
                <c:pt idx="71">
                  <c:v>6585177.8282084502</c:v>
                </c:pt>
                <c:pt idx="72">
                  <c:v>6590760.6072558435</c:v>
                </c:pt>
                <c:pt idx="73">
                  <c:v>6603557.1263090838</c:v>
                </c:pt>
                <c:pt idx="74">
                  <c:v>6550847.044759742</c:v>
                </c:pt>
                <c:pt idx="75">
                  <c:v>6534933.4553590463</c:v>
                </c:pt>
                <c:pt idx="76">
                  <c:v>6516017.0670351116</c:v>
                </c:pt>
                <c:pt idx="77">
                  <c:v>6470560.8059005681</c:v>
                </c:pt>
                <c:pt idx="78">
                  <c:v>6428285.5632956065</c:v>
                </c:pt>
                <c:pt idx="79">
                  <c:v>6340256.6528176516</c:v>
                </c:pt>
                <c:pt idx="80">
                  <c:v>6294428.6625561127</c:v>
                </c:pt>
                <c:pt idx="81">
                  <c:v>6309567.7393019861</c:v>
                </c:pt>
                <c:pt idx="82">
                  <c:v>6329281.394974512</c:v>
                </c:pt>
                <c:pt idx="83">
                  <c:v>6329803.9529851768</c:v>
                </c:pt>
                <c:pt idx="84">
                  <c:v>6278438.6151956357</c:v>
                </c:pt>
                <c:pt idx="85">
                  <c:v>6215436.8522829087</c:v>
                </c:pt>
                <c:pt idx="86">
                  <c:v>6188786.1028864542</c:v>
                </c:pt>
                <c:pt idx="87">
                  <c:v>6167669.2331819199</c:v>
                </c:pt>
                <c:pt idx="88">
                  <c:v>6133991.6293249838</c:v>
                </c:pt>
                <c:pt idx="89">
                  <c:v>6110640.2854579994</c:v>
                </c:pt>
                <c:pt idx="90">
                  <c:v>6119602.2682370041</c:v>
                </c:pt>
                <c:pt idx="91">
                  <c:v>6128252.8941478422</c:v>
                </c:pt>
                <c:pt idx="92">
                  <c:v>6151455.9342747517</c:v>
                </c:pt>
                <c:pt idx="93">
                  <c:v>6180913.2563136509</c:v>
                </c:pt>
                <c:pt idx="94">
                  <c:v>6188510.7071753591</c:v>
                </c:pt>
                <c:pt idx="95">
                  <c:v>6168300.4875889737</c:v>
                </c:pt>
                <c:pt idx="96">
                  <c:v>0</c:v>
                </c:pt>
                <c:pt idx="97">
                  <c:v>0</c:v>
                </c:pt>
              </c:numCache>
            </c:numRef>
          </c:yVal>
          <c:smooth val="1"/>
          <c:extLst>
            <c:ext xmlns:c16="http://schemas.microsoft.com/office/drawing/2014/chart" uri="{C3380CC4-5D6E-409C-BE32-E72D297353CC}">
              <c16:uniqueId val="{00000004-F0F6-4DC5-AC81-04CAF4264FFF}"/>
            </c:ext>
          </c:extLst>
        </c:ser>
        <c:dLbls>
          <c:showLegendKey val="0"/>
          <c:showVal val="0"/>
          <c:showCatName val="0"/>
          <c:showSerName val="0"/>
          <c:showPercent val="0"/>
          <c:showBubbleSize val="0"/>
        </c:dLbls>
        <c:axId val="39748352"/>
        <c:axId val="39750272"/>
      </c:scatterChart>
      <c:valAx>
        <c:axId val="39748352"/>
        <c:scaling>
          <c:orientation val="minMax"/>
          <c:min val="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DE"/>
          </a:p>
        </c:txPr>
        <c:crossAx val="39750272"/>
        <c:crosses val="autoZero"/>
        <c:crossBetween val="midCat"/>
        <c:majorUnit val="2"/>
      </c:valAx>
      <c:valAx>
        <c:axId val="39750272"/>
        <c:scaling>
          <c:orientation val="minMax"/>
          <c:min val="0"/>
        </c:scaling>
        <c:delete val="0"/>
        <c:axPos val="l"/>
        <c:majorGridlines>
          <c:spPr>
            <a:ln w="3175">
              <a:solidFill>
                <a:schemeClr val="bg1">
                  <a:lumMod val="85000"/>
                </a:schemeClr>
              </a:solidFill>
              <a:prstDash val="solid"/>
            </a:ln>
          </c:spPr>
        </c:majorGridlines>
        <c:numFmt formatCode="[&gt;999]\ \ #,&quot; K&quot;;0.##,&quot; K&quot;"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DE"/>
          </a:p>
        </c:txPr>
        <c:crossAx val="39748352"/>
        <c:crossesAt val="0"/>
        <c:crossBetween val="midCat"/>
      </c:valAx>
      <c:spPr>
        <a:solidFill>
          <a:schemeClr val="bg1"/>
        </a:solidFill>
        <a:ln w="12700">
          <a:solidFill>
            <a:schemeClr val="tx1"/>
          </a:solidFill>
          <a:prstDash val="solid"/>
        </a:ln>
      </c:spPr>
    </c:plotArea>
    <c:legend>
      <c:legendPos val="tr"/>
      <c:layout>
        <c:manualLayout>
          <c:xMode val="edge"/>
          <c:yMode val="edge"/>
          <c:x val="9.8534345058053863E-2"/>
          <c:y val="1.6457219279197428E-2"/>
          <c:w val="0.82671112932854196"/>
          <c:h val="5.0446724420344514E-2"/>
        </c:manualLayout>
      </c:layout>
      <c:overlay val="0"/>
      <c:spPr>
        <a:solidFill>
          <a:schemeClr val="bg1">
            <a:lumMod val="95000"/>
          </a:schemeClr>
        </a:solidFill>
        <a:ln w="3175">
          <a:solidFill>
            <a:srgbClr val="000000"/>
          </a:solidFill>
          <a:prstDash val="solid"/>
        </a:ln>
      </c:spPr>
      <c:txPr>
        <a:bodyPr/>
        <a:lstStyle/>
        <a:p>
          <a:pPr>
            <a:defRPr sz="1200" b="0" i="0" u="none" strike="noStrike" baseline="0">
              <a:solidFill>
                <a:srgbClr val="000000"/>
              </a:solidFill>
              <a:latin typeface="Arial" panose="020B0604020202020204" pitchFamily="34" charset="0"/>
              <a:ea typeface="Arial"/>
              <a:cs typeface="Arial" panose="020B0604020202020204" pitchFamily="34" charset="0"/>
            </a:defRPr>
          </a:pPr>
          <a:endParaRPr lang="en-DE"/>
        </a:p>
      </c:txPr>
    </c:legend>
    <c:plotVisOnly val="1"/>
    <c:dispBlanksAs val="gap"/>
    <c:showDLblsOverMax val="0"/>
  </c:chart>
  <c:spPr>
    <a:solidFill>
      <a:srgbClr val="FFFF66"/>
    </a:solidFill>
    <a:ln w="3175">
      <a:solidFill>
        <a:srgbClr val="000000"/>
      </a:solidFill>
    </a:ln>
  </c:spPr>
  <c:txPr>
    <a:bodyPr/>
    <a:lstStyle/>
    <a:p>
      <a:pPr>
        <a:defRPr sz="800" b="0" i="0" u="none" strike="noStrike" baseline="0">
          <a:solidFill>
            <a:srgbClr val="000000"/>
          </a:solidFill>
          <a:latin typeface="Arial"/>
          <a:ea typeface="Arial"/>
          <a:cs typeface="Arial"/>
        </a:defRPr>
      </a:pPr>
      <a:endParaRPr lang="en-D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20555108656834E-2"/>
          <c:y val="4.2516437356513774E-2"/>
          <c:w val="0.88994061782765643"/>
          <c:h val="0.90103518152784401"/>
        </c:manualLayout>
      </c:layout>
      <c:scatterChart>
        <c:scatterStyle val="smoothMarker"/>
        <c:varyColors val="0"/>
        <c:ser>
          <c:idx val="1"/>
          <c:order val="0"/>
          <c:tx>
            <c:strRef>
              <c:f>calc!$L$112</c:f>
              <c:strCache>
                <c:ptCount val="1"/>
                <c:pt idx="0">
                  <c:v>9.9</c:v>
                </c:pt>
              </c:strCache>
            </c:strRef>
          </c:tx>
          <c:spPr>
            <a:ln w="38100">
              <a:solidFill>
                <a:srgbClr val="008000"/>
              </a:solidFill>
              <a:prstDash val="solid"/>
            </a:ln>
          </c:spPr>
          <c:marker>
            <c:symbol val="circle"/>
            <c:size val="9"/>
            <c:spPr>
              <a:solidFill>
                <a:srgbClr val="008000"/>
              </a:solidFill>
              <a:ln>
                <a:solidFill>
                  <a:srgbClr val="008000"/>
                </a:solidFill>
              </a:ln>
            </c:spPr>
          </c:marker>
          <c:xVal>
            <c:strRef>
              <c:f>calc!$J$113:$J$306</c:f>
              <c:strCache>
                <c:ptCount val="82"/>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strCache>
            </c:strRef>
          </c:xVal>
          <c:yVal>
            <c:numRef>
              <c:f>calc!$L$113:$L$306</c:f>
              <c:numCache>
                <c:formatCode>0</c:formatCode>
                <c:ptCount val="194"/>
                <c:pt idx="1">
                  <c:v>17493.349619153305</c:v>
                </c:pt>
                <c:pt idx="2">
                  <c:v>16811.207372096469</c:v>
                </c:pt>
                <c:pt idx="3">
                  <c:v>18680.323464328096</c:v>
                </c:pt>
                <c:pt idx="4">
                  <c:v>18993.185604909733</c:v>
                </c:pt>
                <c:pt idx="5">
                  <c:v>20291.399194009005</c:v>
                </c:pt>
                <c:pt idx="6">
                  <c:v>19300.664744389891</c:v>
                </c:pt>
                <c:pt idx="7">
                  <c:v>19209.73231340068</c:v>
                </c:pt>
                <c:pt idx="8">
                  <c:v>17892.985354458615</c:v>
                </c:pt>
                <c:pt idx="9">
                  <c:v>19484.829049494929</c:v>
                </c:pt>
                <c:pt idx="10">
                  <c:v>21783.368767924985</c:v>
                </c:pt>
                <c:pt idx="11">
                  <c:v>18818.998655892803</c:v>
                </c:pt>
                <c:pt idx="12">
                  <c:v>14795.523056588039</c:v>
                </c:pt>
                <c:pt idx="13">
                  <c:v>19165.203940845207</c:v>
                </c:pt>
                <c:pt idx="14">
                  <c:v>21013.508353374513</c:v>
                </c:pt>
                <c:pt idx="15">
                  <c:v>18155.093498674891</c:v>
                </c:pt>
                <c:pt idx="16">
                  <c:v>19884.943624509913</c:v>
                </c:pt>
                <c:pt idx="17">
                  <c:v>21130.217629546336</c:v>
                </c:pt>
                <c:pt idx="18">
                  <c:v>20258.712654174822</c:v>
                </c:pt>
                <c:pt idx="19">
                  <c:v>17946.447411828813</c:v>
                </c:pt>
                <c:pt idx="20">
                  <c:v>18653.920914466842</c:v>
                </c:pt>
                <c:pt idx="21">
                  <c:v>19039.079645701815</c:v>
                </c:pt>
                <c:pt idx="22">
                  <c:v>18453.424028403686</c:v>
                </c:pt>
                <c:pt idx="23">
                  <c:v>17698.483660622667</c:v>
                </c:pt>
                <c:pt idx="24">
                  <c:v>16808.676610908438</c:v>
                </c:pt>
                <c:pt idx="25">
                  <c:v>18946.385870862588</c:v>
                </c:pt>
                <c:pt idx="26">
                  <c:v>19385.948829294528</c:v>
                </c:pt>
                <c:pt idx="27">
                  <c:v>18675.88150992489</c:v>
                </c:pt>
                <c:pt idx="28">
                  <c:v>21062.854091420733</c:v>
                </c:pt>
                <c:pt idx="29">
                  <c:v>19296.39529117323</c:v>
                </c:pt>
                <c:pt idx="30">
                  <c:v>18635.340771316587</c:v>
                </c:pt>
                <c:pt idx="31">
                  <c:v>18683.354207508684</c:v>
                </c:pt>
                <c:pt idx="32">
                  <c:v>23397.554528973269</c:v>
                </c:pt>
                <c:pt idx="33">
                  <c:v>24494.811918879059</c:v>
                </c:pt>
                <c:pt idx="34">
                  <c:v>18546.426722424058</c:v>
                </c:pt>
                <c:pt idx="35">
                  <c:v>16286.830845088814</c:v>
                </c:pt>
                <c:pt idx="36">
                  <c:v>17578.012972016266</c:v>
                </c:pt>
                <c:pt idx="37">
                  <c:v>20973.279422788619</c:v>
                </c:pt>
                <c:pt idx="38">
                  <c:v>21085.245170205155</c:v>
                </c:pt>
                <c:pt idx="39">
                  <c:v>19764.081673364872</c:v>
                </c:pt>
                <c:pt idx="40">
                  <c:v>17258.866929457421</c:v>
                </c:pt>
                <c:pt idx="41">
                  <c:v>17382.403378880965</c:v>
                </c:pt>
                <c:pt idx="42">
                  <c:v>20820.209880197144</c:v>
                </c:pt>
                <c:pt idx="43">
                  <c:v>19336.453518410559</c:v>
                </c:pt>
                <c:pt idx="44">
                  <c:v>17605.328428710236</c:v>
                </c:pt>
                <c:pt idx="45">
                  <c:v>20521.078035373095</c:v>
                </c:pt>
                <c:pt idx="46">
                  <c:v>21860.185875848674</c:v>
                </c:pt>
                <c:pt idx="47">
                  <c:v>21822.348986193723</c:v>
                </c:pt>
                <c:pt idx="48">
                  <c:v>19712.450909467803</c:v>
                </c:pt>
                <c:pt idx="49">
                  <c:v>18085.582223890331</c:v>
                </c:pt>
                <c:pt idx="50">
                  <c:v>18699.448128604901</c:v>
                </c:pt>
                <c:pt idx="51">
                  <c:v>20918.144926727258</c:v>
                </c:pt>
                <c:pt idx="52">
                  <c:v>19699.768946628701</c:v>
                </c:pt>
                <c:pt idx="53">
                  <c:v>16297.181784525657</c:v>
                </c:pt>
                <c:pt idx="54">
                  <c:v>20598.689778104006</c:v>
                </c:pt>
                <c:pt idx="55">
                  <c:v>21553.257242550259</c:v>
                </c:pt>
                <c:pt idx="56">
                  <c:v>17521.968680346439</c:v>
                </c:pt>
                <c:pt idx="57">
                  <c:v>19537.494670396187</c:v>
                </c:pt>
                <c:pt idx="58">
                  <c:v>20689.737222822409</c:v>
                </c:pt>
                <c:pt idx="59">
                  <c:v>23458.794499515836</c:v>
                </c:pt>
                <c:pt idx="60">
                  <c:v>19014.14033623971</c:v>
                </c:pt>
                <c:pt idx="61">
                  <c:v>19531.153255124285</c:v>
                </c:pt>
                <c:pt idx="62">
                  <c:v>18721.070901771076</c:v>
                </c:pt>
                <c:pt idx="63">
                  <c:v>16397.359540442088</c:v>
                </c:pt>
                <c:pt idx="64">
                  <c:v>18676.19239512624</c:v>
                </c:pt>
                <c:pt idx="65">
                  <c:v>20178.353835471375</c:v>
                </c:pt>
                <c:pt idx="66">
                  <c:v>18520.495810823635</c:v>
                </c:pt>
                <c:pt idx="67">
                  <c:v>18661.118596137141</c:v>
                </c:pt>
                <c:pt idx="68">
                  <c:v>23051.167533014399</c:v>
                </c:pt>
                <c:pt idx="69">
                  <c:v>16568.639842858771</c:v>
                </c:pt>
                <c:pt idx="70">
                  <c:v>16835.24338695476</c:v>
                </c:pt>
                <c:pt idx="71">
                  <c:v>20233.056529889611</c:v>
                </c:pt>
                <c:pt idx="72">
                  <c:v>19702.492600886409</c:v>
                </c:pt>
                <c:pt idx="73">
                  <c:v>18500.601378146344</c:v>
                </c:pt>
                <c:pt idx="74">
                  <c:v>18301.364594776598</c:v>
                </c:pt>
                <c:pt idx="75">
                  <c:v>22521.029967245035</c:v>
                </c:pt>
                <c:pt idx="76">
                  <c:v>22041.62631703712</c:v>
                </c:pt>
                <c:pt idx="77">
                  <c:v>17898.725423641485</c:v>
                </c:pt>
                <c:pt idx="78">
                  <c:v>20012.497314512413</c:v>
                </c:pt>
                <c:pt idx="79">
                  <c:v>20469.757015106257</c:v>
                </c:pt>
                <c:pt idx="80">
                  <c:v>20072.073107243727</c:v>
                </c:pt>
                <c:pt idx="81">
                  <c:v>18133.914682795144</c:v>
                </c:pt>
                <c:pt idx="82">
                  <c:v>0</c:v>
                </c:pt>
                <c:pt idx="83">
                  <c:v>0</c:v>
                </c:pt>
                <c:pt idx="191" formatCode="0.0">
                  <c:v>0</c:v>
                </c:pt>
                <c:pt idx="192" formatCode="0.0">
                  <c:v>0</c:v>
                </c:pt>
                <c:pt idx="193" formatCode="0.0">
                  <c:v>0</c:v>
                </c:pt>
              </c:numCache>
            </c:numRef>
          </c:yVal>
          <c:smooth val="1"/>
          <c:extLst>
            <c:ext xmlns:c16="http://schemas.microsoft.com/office/drawing/2014/chart" uri="{C3380CC4-5D6E-409C-BE32-E72D297353CC}">
              <c16:uniqueId val="{00000000-BFF0-4C02-8298-DFAFAFD1392C}"/>
            </c:ext>
          </c:extLst>
        </c:ser>
        <c:ser>
          <c:idx val="2"/>
          <c:order val="1"/>
          <c:tx>
            <c:strRef>
              <c:f>calc!$M$112</c:f>
              <c:strCache>
                <c:ptCount val="1"/>
                <c:pt idx="0">
                  <c:v>10</c:v>
                </c:pt>
              </c:strCache>
            </c:strRef>
          </c:tx>
          <c:spPr>
            <a:ln w="38100">
              <a:solidFill>
                <a:srgbClr val="DD0806"/>
              </a:solidFill>
              <a:prstDash val="solid"/>
            </a:ln>
          </c:spPr>
          <c:marker>
            <c:symbol val="x"/>
            <c:size val="8"/>
            <c:spPr>
              <a:solidFill>
                <a:srgbClr val="CC0000"/>
              </a:solidFill>
              <a:ln>
                <a:solidFill>
                  <a:schemeClr val="bg1"/>
                </a:solidFill>
              </a:ln>
            </c:spPr>
          </c:marker>
          <c:xVal>
            <c:strRef>
              <c:f>calc!$J$113:$J$306</c:f>
              <c:strCache>
                <c:ptCount val="82"/>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strCache>
            </c:strRef>
          </c:xVal>
          <c:yVal>
            <c:numRef>
              <c:f>calc!$M$113:$M$306</c:f>
              <c:numCache>
                <c:formatCode>0</c:formatCode>
                <c:ptCount val="194"/>
                <c:pt idx="1">
                  <c:v>31777.121328819987</c:v>
                </c:pt>
                <c:pt idx="2">
                  <c:v>31777.121328819987</c:v>
                </c:pt>
                <c:pt idx="3">
                  <c:v>32700.551879268871</c:v>
                </c:pt>
                <c:pt idx="4">
                  <c:v>33297.442802201884</c:v>
                </c:pt>
                <c:pt idx="5">
                  <c:v>32479.373104203605</c:v>
                </c:pt>
                <c:pt idx="6">
                  <c:v>31210.785620966202</c:v>
                </c:pt>
                <c:pt idx="7">
                  <c:v>28793.916092579915</c:v>
                </c:pt>
                <c:pt idx="8">
                  <c:v>33066.722554673681</c:v>
                </c:pt>
                <c:pt idx="9">
                  <c:v>32653.415157753439</c:v>
                </c:pt>
                <c:pt idx="10">
                  <c:v>29793.913704501396</c:v>
                </c:pt>
                <c:pt idx="11">
                  <c:v>30169.562802769979</c:v>
                </c:pt>
                <c:pt idx="12">
                  <c:v>32869.412824271334</c:v>
                </c:pt>
                <c:pt idx="13">
                  <c:v>30574.147211943375</c:v>
                </c:pt>
                <c:pt idx="14">
                  <c:v>31921.326748694322</c:v>
                </c:pt>
                <c:pt idx="15">
                  <c:v>32502.451217759884</c:v>
                </c:pt>
                <c:pt idx="16">
                  <c:v>34791.642956508986</c:v>
                </c:pt>
                <c:pt idx="17">
                  <c:v>35074.039931254643</c:v>
                </c:pt>
                <c:pt idx="18">
                  <c:v>31704.08690633309</c:v>
                </c:pt>
                <c:pt idx="19">
                  <c:v>33668.529227583436</c:v>
                </c:pt>
                <c:pt idx="20">
                  <c:v>34800.052314343557</c:v>
                </c:pt>
                <c:pt idx="21">
                  <c:v>30483.280314306827</c:v>
                </c:pt>
                <c:pt idx="22">
                  <c:v>29312.215022438213</c:v>
                </c:pt>
                <c:pt idx="23">
                  <c:v>29470.753542586888</c:v>
                </c:pt>
                <c:pt idx="24">
                  <c:v>33584.89750045984</c:v>
                </c:pt>
                <c:pt idx="25">
                  <c:v>33100.59188879071</c:v>
                </c:pt>
                <c:pt idx="26">
                  <c:v>32216.822019716441</c:v>
                </c:pt>
                <c:pt idx="27">
                  <c:v>33659.023420467936</c:v>
                </c:pt>
                <c:pt idx="28">
                  <c:v>32891.338183066895</c:v>
                </c:pt>
                <c:pt idx="29">
                  <c:v>33572.945330125345</c:v>
                </c:pt>
                <c:pt idx="30">
                  <c:v>30818.590229114998</c:v>
                </c:pt>
                <c:pt idx="31">
                  <c:v>32406.351929904515</c:v>
                </c:pt>
                <c:pt idx="32">
                  <c:v>35255.254378484467</c:v>
                </c:pt>
                <c:pt idx="33">
                  <c:v>33655.284698869706</c:v>
                </c:pt>
                <c:pt idx="34">
                  <c:v>32089.342932153751</c:v>
                </c:pt>
                <c:pt idx="35">
                  <c:v>34132.496607291141</c:v>
                </c:pt>
                <c:pt idx="36">
                  <c:v>31675.11419904256</c:v>
                </c:pt>
                <c:pt idx="37">
                  <c:v>32223.549885640459</c:v>
                </c:pt>
                <c:pt idx="38">
                  <c:v>32635.438155072919</c:v>
                </c:pt>
                <c:pt idx="39">
                  <c:v>33308.537020163189</c:v>
                </c:pt>
                <c:pt idx="40">
                  <c:v>34089.933766818132</c:v>
                </c:pt>
                <c:pt idx="41">
                  <c:v>32851.68224897395</c:v>
                </c:pt>
                <c:pt idx="42">
                  <c:v>32977.75766170142</c:v>
                </c:pt>
                <c:pt idx="43">
                  <c:v>34012.954027844433</c:v>
                </c:pt>
                <c:pt idx="44">
                  <c:v>30724.378048275787</c:v>
                </c:pt>
                <c:pt idx="45">
                  <c:v>30955.14547876795</c:v>
                </c:pt>
                <c:pt idx="46">
                  <c:v>33297.026068705156</c:v>
                </c:pt>
                <c:pt idx="47">
                  <c:v>32506.607055597608</c:v>
                </c:pt>
                <c:pt idx="48">
                  <c:v>32997.718800864415</c:v>
                </c:pt>
                <c:pt idx="49">
                  <c:v>32365.205966752841</c:v>
                </c:pt>
                <c:pt idx="50">
                  <c:v>34106.329103412012</c:v>
                </c:pt>
                <c:pt idx="51">
                  <c:v>30265.435371509335</c:v>
                </c:pt>
                <c:pt idx="52">
                  <c:v>31606.628009205971</c:v>
                </c:pt>
                <c:pt idx="53">
                  <c:v>36019.8953421689</c:v>
                </c:pt>
                <c:pt idx="54">
                  <c:v>32944.76930285299</c:v>
                </c:pt>
                <c:pt idx="55">
                  <c:v>29546.513922036636</c:v>
                </c:pt>
                <c:pt idx="56">
                  <c:v>30150.029974076191</c:v>
                </c:pt>
                <c:pt idx="57">
                  <c:v>34869.561748944623</c:v>
                </c:pt>
                <c:pt idx="58">
                  <c:v>33059.146748418025</c:v>
                </c:pt>
                <c:pt idx="59">
                  <c:v>34234.771322653512</c:v>
                </c:pt>
                <c:pt idx="60">
                  <c:v>33093.815042582617</c:v>
                </c:pt>
                <c:pt idx="61">
                  <c:v>30951.702222302094</c:v>
                </c:pt>
                <c:pt idx="62">
                  <c:v>33830.085514638071</c:v>
                </c:pt>
                <c:pt idx="63">
                  <c:v>32389.511597496705</c:v>
                </c:pt>
                <c:pt idx="64">
                  <c:v>30944.494399746971</c:v>
                </c:pt>
                <c:pt idx="65">
                  <c:v>32055.50212896982</c:v>
                </c:pt>
                <c:pt idx="66">
                  <c:v>34450.00049568442</c:v>
                </c:pt>
                <c:pt idx="67">
                  <c:v>32505.883067355735</c:v>
                </c:pt>
                <c:pt idx="68">
                  <c:v>30249.09170542971</c:v>
                </c:pt>
                <c:pt idx="69">
                  <c:v>33947.257283930332</c:v>
                </c:pt>
                <c:pt idx="70">
                  <c:v>34361.668164095441</c:v>
                </c:pt>
                <c:pt idx="71">
                  <c:v>32996.208514566271</c:v>
                </c:pt>
                <c:pt idx="72">
                  <c:v>31230.017955602918</c:v>
                </c:pt>
                <c:pt idx="73">
                  <c:v>30957.462674274549</c:v>
                </c:pt>
                <c:pt idx="74">
                  <c:v>32507.771491848929</c:v>
                </c:pt>
                <c:pt idx="75">
                  <c:v>33228.165598044958</c:v>
                </c:pt>
                <c:pt idx="76">
                  <c:v>33843.628202463398</c:v>
                </c:pt>
                <c:pt idx="77">
                  <c:v>32670.359669845999</c:v>
                </c:pt>
                <c:pt idx="78">
                  <c:v>34963.116454435723</c:v>
                </c:pt>
                <c:pt idx="79">
                  <c:v>35436.604316465098</c:v>
                </c:pt>
                <c:pt idx="80">
                  <c:v>33340.445162274118</c:v>
                </c:pt>
                <c:pt idx="81">
                  <c:v>57579.750864475507</c:v>
                </c:pt>
                <c:pt idx="82">
                  <c:v>0</c:v>
                </c:pt>
                <c:pt idx="83">
                  <c:v>0</c:v>
                </c:pt>
                <c:pt idx="191" formatCode="0.0">
                  <c:v>0</c:v>
                </c:pt>
                <c:pt idx="192" formatCode="0.0">
                  <c:v>0</c:v>
                </c:pt>
                <c:pt idx="193" formatCode="0.0">
                  <c:v>0</c:v>
                </c:pt>
              </c:numCache>
            </c:numRef>
          </c:yVal>
          <c:smooth val="1"/>
          <c:extLst>
            <c:ext xmlns:c16="http://schemas.microsoft.com/office/drawing/2014/chart" uri="{C3380CC4-5D6E-409C-BE32-E72D297353CC}">
              <c16:uniqueId val="{00000001-BFF0-4C02-8298-DFAFAFD1392C}"/>
            </c:ext>
          </c:extLst>
        </c:ser>
        <c:ser>
          <c:idx val="3"/>
          <c:order val="2"/>
          <c:tx>
            <c:strRef>
              <c:f>calc!$N$112</c:f>
              <c:strCache>
                <c:ptCount val="1"/>
                <c:pt idx="0">
                  <c:v>10.11</c:v>
                </c:pt>
              </c:strCache>
            </c:strRef>
          </c:tx>
          <c:spPr>
            <a:ln w="38100">
              <a:solidFill>
                <a:schemeClr val="tx2">
                  <a:lumMod val="75000"/>
                </a:schemeClr>
              </a:solidFill>
              <a:prstDash val="solid"/>
            </a:ln>
          </c:spPr>
          <c:marker>
            <c:symbol val="diamond"/>
            <c:size val="9"/>
            <c:spPr>
              <a:solidFill>
                <a:schemeClr val="tx2">
                  <a:lumMod val="75000"/>
                </a:schemeClr>
              </a:solidFill>
              <a:ln>
                <a:solidFill>
                  <a:schemeClr val="tx2">
                    <a:lumMod val="75000"/>
                  </a:schemeClr>
                </a:solidFill>
              </a:ln>
            </c:spPr>
          </c:marker>
          <c:xVal>
            <c:strRef>
              <c:f>calc!$J$113:$J$306</c:f>
              <c:strCache>
                <c:ptCount val="82"/>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strCache>
            </c:strRef>
          </c:xVal>
          <c:yVal>
            <c:numRef>
              <c:f>calc!$N$113:$N$306</c:f>
              <c:numCache>
                <c:formatCode>0</c:formatCode>
                <c:ptCount val="194"/>
                <c:pt idx="1">
                  <c:v>13419.903219635766</c:v>
                </c:pt>
                <c:pt idx="2">
                  <c:v>15825.730163222554</c:v>
                </c:pt>
                <c:pt idx="3">
                  <c:v>18851.287296266193</c:v>
                </c:pt>
                <c:pt idx="4">
                  <c:v>18239.328972163603</c:v>
                </c:pt>
                <c:pt idx="5">
                  <c:v>17263.396777228492</c:v>
                </c:pt>
                <c:pt idx="6">
                  <c:v>20113.443689217591</c:v>
                </c:pt>
                <c:pt idx="7">
                  <c:v>17183.737901344371</c:v>
                </c:pt>
                <c:pt idx="8">
                  <c:v>19126.695946310534</c:v>
                </c:pt>
                <c:pt idx="9">
                  <c:v>18944.795067611089</c:v>
                </c:pt>
                <c:pt idx="10">
                  <c:v>18617.225201637128</c:v>
                </c:pt>
                <c:pt idx="11">
                  <c:v>18762.363130033162</c:v>
                </c:pt>
                <c:pt idx="12">
                  <c:v>19216.496000008945</c:v>
                </c:pt>
                <c:pt idx="13">
                  <c:v>16135.257318755454</c:v>
                </c:pt>
                <c:pt idx="14">
                  <c:v>15715.880885647737</c:v>
                </c:pt>
                <c:pt idx="15">
                  <c:v>20748.356141887543</c:v>
                </c:pt>
                <c:pt idx="16">
                  <c:v>17450.848611582238</c:v>
                </c:pt>
                <c:pt idx="17">
                  <c:v>17610.117642490215</c:v>
                </c:pt>
                <c:pt idx="18">
                  <c:v>17663.087818816879</c:v>
                </c:pt>
                <c:pt idx="19">
                  <c:v>18069.464635619654</c:v>
                </c:pt>
                <c:pt idx="20">
                  <c:v>18576.358193557258</c:v>
                </c:pt>
                <c:pt idx="21">
                  <c:v>17420.98988885037</c:v>
                </c:pt>
                <c:pt idx="22">
                  <c:v>18043.120108169955</c:v>
                </c:pt>
                <c:pt idx="23">
                  <c:v>16369.210123327588</c:v>
                </c:pt>
                <c:pt idx="24">
                  <c:v>17532.680607346632</c:v>
                </c:pt>
                <c:pt idx="25">
                  <c:v>18591.824807236699</c:v>
                </c:pt>
                <c:pt idx="26">
                  <c:v>20206.302853386373</c:v>
                </c:pt>
                <c:pt idx="27">
                  <c:v>19256.102350269535</c:v>
                </c:pt>
                <c:pt idx="28">
                  <c:v>18378.595297880438</c:v>
                </c:pt>
                <c:pt idx="29">
                  <c:v>17025.265440975665</c:v>
                </c:pt>
                <c:pt idx="30">
                  <c:v>17404.498447317819</c:v>
                </c:pt>
                <c:pt idx="31">
                  <c:v>17146.822813493814</c:v>
                </c:pt>
                <c:pt idx="32">
                  <c:v>20259.170719421149</c:v>
                </c:pt>
                <c:pt idx="33">
                  <c:v>21276.736269206307</c:v>
                </c:pt>
                <c:pt idx="34">
                  <c:v>20104.972935558078</c:v>
                </c:pt>
                <c:pt idx="35">
                  <c:v>18849.81947655612</c:v>
                </c:pt>
                <c:pt idx="36">
                  <c:v>19264.693215048592</c:v>
                </c:pt>
                <c:pt idx="37">
                  <c:v>14960.201465867238</c:v>
                </c:pt>
                <c:pt idx="38">
                  <c:v>17701.18305864474</c:v>
                </c:pt>
                <c:pt idx="39">
                  <c:v>20612.894548462133</c:v>
                </c:pt>
                <c:pt idx="40">
                  <c:v>17005.53837448802</c:v>
                </c:pt>
                <c:pt idx="41">
                  <c:v>17939.732052134008</c:v>
                </c:pt>
                <c:pt idx="42">
                  <c:v>17847.796158597597</c:v>
                </c:pt>
                <c:pt idx="43">
                  <c:v>18039.459093246554</c:v>
                </c:pt>
                <c:pt idx="44">
                  <c:v>17222.27694275244</c:v>
                </c:pt>
                <c:pt idx="45">
                  <c:v>18510.877179377359</c:v>
                </c:pt>
                <c:pt idx="46">
                  <c:v>19643.900266825287</c:v>
                </c:pt>
                <c:pt idx="47">
                  <c:v>18129.800316602083</c:v>
                </c:pt>
                <c:pt idx="48">
                  <c:v>18405.895755505626</c:v>
                </c:pt>
                <c:pt idx="49">
                  <c:v>17849.352174298132</c:v>
                </c:pt>
                <c:pt idx="50">
                  <c:v>17861.838469231909</c:v>
                </c:pt>
                <c:pt idx="51">
                  <c:v>17625.808522587969</c:v>
                </c:pt>
                <c:pt idx="52">
                  <c:v>17566.4713234915</c:v>
                </c:pt>
                <c:pt idx="53">
                  <c:v>20659.896909401508</c:v>
                </c:pt>
                <c:pt idx="54">
                  <c:v>19481.781288985145</c:v>
                </c:pt>
                <c:pt idx="55">
                  <c:v>17125.7851040235</c:v>
                </c:pt>
                <c:pt idx="56">
                  <c:v>17227.992372449728</c:v>
                </c:pt>
                <c:pt idx="57">
                  <c:v>17496.447365154949</c:v>
                </c:pt>
                <c:pt idx="58">
                  <c:v>19227.088588952713</c:v>
                </c:pt>
                <c:pt idx="59">
                  <c:v>17310.198454694058</c:v>
                </c:pt>
                <c:pt idx="60">
                  <c:v>16633.281207570271</c:v>
                </c:pt>
                <c:pt idx="61">
                  <c:v>16432.269281449258</c:v>
                </c:pt>
                <c:pt idx="62">
                  <c:v>18534.961183255735</c:v>
                </c:pt>
                <c:pt idx="63">
                  <c:v>19831.801332240455</c:v>
                </c:pt>
                <c:pt idx="64">
                  <c:v>17044.424041019916</c:v>
                </c:pt>
                <c:pt idx="65">
                  <c:v>15926.651961070718</c:v>
                </c:pt>
                <c:pt idx="66">
                  <c:v>19295.756904384292</c:v>
                </c:pt>
                <c:pt idx="67">
                  <c:v>20182.467188983883</c:v>
                </c:pt>
                <c:pt idx="68">
                  <c:v>18303.11637307065</c:v>
                </c:pt>
                <c:pt idx="69">
                  <c:v>17138.978725020672</c:v>
                </c:pt>
                <c:pt idx="70">
                  <c:v>19341.03964745759</c:v>
                </c:pt>
                <c:pt idx="71">
                  <c:v>17999.945165486482</c:v>
                </c:pt>
                <c:pt idx="72">
                  <c:v>18394.485927851405</c:v>
                </c:pt>
                <c:pt idx="73">
                  <c:v>21469.775180334374</c:v>
                </c:pt>
                <c:pt idx="74">
                  <c:v>18715.247624650889</c:v>
                </c:pt>
                <c:pt idx="75">
                  <c:v>16128.406558231283</c:v>
                </c:pt>
                <c:pt idx="76">
                  <c:v>17774.114188645155</c:v>
                </c:pt>
                <c:pt idx="77">
                  <c:v>18967.117703143398</c:v>
                </c:pt>
                <c:pt idx="78">
                  <c:v>18462.119120961048</c:v>
                </c:pt>
                <c:pt idx="79">
                  <c:v>21148.017064654396</c:v>
                </c:pt>
                <c:pt idx="80">
                  <c:v>17991.068809460136</c:v>
                </c:pt>
                <c:pt idx="81">
                  <c:v>19022.019037538776</c:v>
                </c:pt>
                <c:pt idx="82">
                  <c:v>0</c:v>
                </c:pt>
                <c:pt idx="83">
                  <c:v>0</c:v>
                </c:pt>
                <c:pt idx="191" formatCode="0.0">
                  <c:v>0</c:v>
                </c:pt>
                <c:pt idx="192" formatCode="0.0">
                  <c:v>0</c:v>
                </c:pt>
                <c:pt idx="193" formatCode="0.0">
                  <c:v>0</c:v>
                </c:pt>
              </c:numCache>
            </c:numRef>
          </c:yVal>
          <c:smooth val="1"/>
          <c:extLst>
            <c:ext xmlns:c16="http://schemas.microsoft.com/office/drawing/2014/chart" uri="{C3380CC4-5D6E-409C-BE32-E72D297353CC}">
              <c16:uniqueId val="{00000002-BFF0-4C02-8298-DFAFAFD1392C}"/>
            </c:ext>
          </c:extLst>
        </c:ser>
        <c:ser>
          <c:idx val="4"/>
          <c:order val="3"/>
          <c:tx>
            <c:strRef>
              <c:f>calc!$O$112</c:f>
              <c:strCache>
                <c:ptCount val="1"/>
                <c:pt idx="0">
                  <c:v>10.457</c:v>
                </c:pt>
              </c:strCache>
            </c:strRef>
          </c:tx>
          <c:spPr>
            <a:ln w="38100">
              <a:solidFill>
                <a:srgbClr val="00B0F0"/>
              </a:solidFill>
              <a:prstDash val="solid"/>
            </a:ln>
          </c:spPr>
          <c:marker>
            <c:symbol val="square"/>
            <c:size val="8"/>
          </c:marker>
          <c:xVal>
            <c:strRef>
              <c:f>calc!$J$113:$J$306</c:f>
              <c:strCache>
                <c:ptCount val="82"/>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strCache>
            </c:strRef>
          </c:xVal>
          <c:yVal>
            <c:numRef>
              <c:f>calc!$O$113:$O$306</c:f>
              <c:numCache>
                <c:formatCode>0</c:formatCode>
                <c:ptCount val="194"/>
                <c:pt idx="1">
                  <c:v>13419.903219635766</c:v>
                </c:pt>
                <c:pt idx="2">
                  <c:v>15825.730163222554</c:v>
                </c:pt>
                <c:pt idx="3">
                  <c:v>18851.287296266193</c:v>
                </c:pt>
                <c:pt idx="4">
                  <c:v>18239.328972163603</c:v>
                </c:pt>
                <c:pt idx="5">
                  <c:v>17263.396777228492</c:v>
                </c:pt>
                <c:pt idx="6">
                  <c:v>20113.443689217591</c:v>
                </c:pt>
                <c:pt idx="7">
                  <c:v>17183.737901344371</c:v>
                </c:pt>
                <c:pt idx="8">
                  <c:v>19126.695946310534</c:v>
                </c:pt>
                <c:pt idx="9">
                  <c:v>18944.795067611089</c:v>
                </c:pt>
                <c:pt idx="10">
                  <c:v>18617.225201637128</c:v>
                </c:pt>
                <c:pt idx="11">
                  <c:v>18762.363130033162</c:v>
                </c:pt>
                <c:pt idx="12">
                  <c:v>19216.496000008945</c:v>
                </c:pt>
                <c:pt idx="13">
                  <c:v>16135.257318755454</c:v>
                </c:pt>
                <c:pt idx="14">
                  <c:v>15715.880885647737</c:v>
                </c:pt>
                <c:pt idx="15">
                  <c:v>20748.356141887543</c:v>
                </c:pt>
                <c:pt idx="16">
                  <c:v>17450.848611582238</c:v>
                </c:pt>
                <c:pt idx="17">
                  <c:v>17610.117642490215</c:v>
                </c:pt>
                <c:pt idx="18">
                  <c:v>17663.087818816879</c:v>
                </c:pt>
                <c:pt idx="19">
                  <c:v>18069.464635619654</c:v>
                </c:pt>
                <c:pt idx="20">
                  <c:v>18576.358193557258</c:v>
                </c:pt>
                <c:pt idx="21">
                  <c:v>17420.98988885037</c:v>
                </c:pt>
                <c:pt idx="22">
                  <c:v>18043.120108169955</c:v>
                </c:pt>
                <c:pt idx="23">
                  <c:v>16369.210123327588</c:v>
                </c:pt>
                <c:pt idx="24">
                  <c:v>17532.680607346632</c:v>
                </c:pt>
                <c:pt idx="25">
                  <c:v>18591.824807236699</c:v>
                </c:pt>
                <c:pt idx="26">
                  <c:v>20206.302853386373</c:v>
                </c:pt>
                <c:pt idx="27">
                  <c:v>19256.102350269535</c:v>
                </c:pt>
                <c:pt idx="28">
                  <c:v>18378.595297880438</c:v>
                </c:pt>
                <c:pt idx="29">
                  <c:v>17025.265440975665</c:v>
                </c:pt>
                <c:pt idx="30">
                  <c:v>17404.498447317819</c:v>
                </c:pt>
                <c:pt idx="31">
                  <c:v>17146.822813493814</c:v>
                </c:pt>
                <c:pt idx="32">
                  <c:v>20259.170719421149</c:v>
                </c:pt>
                <c:pt idx="33">
                  <c:v>21276.736269206307</c:v>
                </c:pt>
                <c:pt idx="34">
                  <c:v>20104.972935558078</c:v>
                </c:pt>
                <c:pt idx="35">
                  <c:v>18849.81947655612</c:v>
                </c:pt>
                <c:pt idx="36">
                  <c:v>19264.693215048592</c:v>
                </c:pt>
                <c:pt idx="37">
                  <c:v>14960.201465867238</c:v>
                </c:pt>
                <c:pt idx="38">
                  <c:v>17701.18305864474</c:v>
                </c:pt>
                <c:pt idx="39">
                  <c:v>20612.894548462133</c:v>
                </c:pt>
                <c:pt idx="40">
                  <c:v>17005.53837448802</c:v>
                </c:pt>
                <c:pt idx="41">
                  <c:v>17939.732052134008</c:v>
                </c:pt>
                <c:pt idx="42">
                  <c:v>17847.796158597597</c:v>
                </c:pt>
                <c:pt idx="43">
                  <c:v>18039.459093246554</c:v>
                </c:pt>
                <c:pt idx="44">
                  <c:v>17222.27694275244</c:v>
                </c:pt>
                <c:pt idx="45">
                  <c:v>18510.877179377359</c:v>
                </c:pt>
                <c:pt idx="46">
                  <c:v>19643.900266825287</c:v>
                </c:pt>
                <c:pt idx="47">
                  <c:v>18129.800316602083</c:v>
                </c:pt>
                <c:pt idx="48">
                  <c:v>18405.895755505626</c:v>
                </c:pt>
                <c:pt idx="49">
                  <c:v>17849.352174298132</c:v>
                </c:pt>
                <c:pt idx="50">
                  <c:v>17861.838469231909</c:v>
                </c:pt>
                <c:pt idx="51">
                  <c:v>17625.808522587969</c:v>
                </c:pt>
                <c:pt idx="52">
                  <c:v>17566.4713234915</c:v>
                </c:pt>
                <c:pt idx="53">
                  <c:v>20659.896909401508</c:v>
                </c:pt>
                <c:pt idx="54">
                  <c:v>19481.781288985145</c:v>
                </c:pt>
                <c:pt idx="55">
                  <c:v>17125.7851040235</c:v>
                </c:pt>
                <c:pt idx="56">
                  <c:v>17227.992372449728</c:v>
                </c:pt>
                <c:pt idx="57">
                  <c:v>17496.447365154949</c:v>
                </c:pt>
                <c:pt idx="58">
                  <c:v>19227.088588952713</c:v>
                </c:pt>
                <c:pt idx="59">
                  <c:v>17310.198454694058</c:v>
                </c:pt>
                <c:pt idx="60">
                  <c:v>16633.281207570271</c:v>
                </c:pt>
                <c:pt idx="61">
                  <c:v>16432.269281449258</c:v>
                </c:pt>
                <c:pt idx="62">
                  <c:v>18534.961183255735</c:v>
                </c:pt>
                <c:pt idx="63">
                  <c:v>19831.801332240455</c:v>
                </c:pt>
                <c:pt idx="64">
                  <c:v>17044.424041019916</c:v>
                </c:pt>
                <c:pt idx="65">
                  <c:v>15926.651961070718</c:v>
                </c:pt>
                <c:pt idx="66">
                  <c:v>19295.756904384292</c:v>
                </c:pt>
                <c:pt idx="67">
                  <c:v>20182.467188983883</c:v>
                </c:pt>
                <c:pt idx="68">
                  <c:v>18303.11637307065</c:v>
                </c:pt>
                <c:pt idx="69">
                  <c:v>17138.978725020672</c:v>
                </c:pt>
                <c:pt idx="70">
                  <c:v>19341.03964745759</c:v>
                </c:pt>
                <c:pt idx="71">
                  <c:v>17999.945165486482</c:v>
                </c:pt>
                <c:pt idx="72">
                  <c:v>18394.485927851405</c:v>
                </c:pt>
                <c:pt idx="73">
                  <c:v>21469.775180334374</c:v>
                </c:pt>
                <c:pt idx="74">
                  <c:v>18715.247624650889</c:v>
                </c:pt>
                <c:pt idx="75">
                  <c:v>16128.406558231283</c:v>
                </c:pt>
                <c:pt idx="76">
                  <c:v>17774.114188645155</c:v>
                </c:pt>
                <c:pt idx="77">
                  <c:v>18967.117703143398</c:v>
                </c:pt>
                <c:pt idx="78">
                  <c:v>18462.119120961048</c:v>
                </c:pt>
                <c:pt idx="79">
                  <c:v>21148.017064654396</c:v>
                </c:pt>
                <c:pt idx="80">
                  <c:v>17991.068809460136</c:v>
                </c:pt>
                <c:pt idx="81">
                  <c:v>19022.019037538776</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91" formatCode="0.0">
                  <c:v>0</c:v>
                </c:pt>
                <c:pt idx="192" formatCode="0.0">
                  <c:v>0</c:v>
                </c:pt>
                <c:pt idx="193" formatCode="0.0">
                  <c:v>0</c:v>
                </c:pt>
              </c:numCache>
            </c:numRef>
          </c:yVal>
          <c:smooth val="1"/>
          <c:extLst>
            <c:ext xmlns:c16="http://schemas.microsoft.com/office/drawing/2014/chart" uri="{C3380CC4-5D6E-409C-BE32-E72D297353CC}">
              <c16:uniqueId val="{00000003-BFF0-4C02-8298-DFAFAFD1392C}"/>
            </c:ext>
          </c:extLst>
        </c:ser>
        <c:ser>
          <c:idx val="0"/>
          <c:order val="4"/>
          <c:tx>
            <c:strRef>
              <c:f>calc!$P$112</c:f>
              <c:strCache>
                <c:ptCount val="1"/>
                <c:pt idx="0">
                  <c:v>11B</c:v>
                </c:pt>
              </c:strCache>
            </c:strRef>
          </c:tx>
          <c:spPr>
            <a:ln w="38100">
              <a:solidFill>
                <a:srgbClr val="0070C0"/>
              </a:solidFill>
              <a:prstDash val="solid"/>
            </a:ln>
          </c:spPr>
          <c:marker>
            <c:symbol val="triangle"/>
            <c:size val="9"/>
            <c:spPr>
              <a:solidFill>
                <a:srgbClr val="0070C0"/>
              </a:solidFill>
              <a:ln>
                <a:solidFill>
                  <a:srgbClr val="0070C0"/>
                </a:solidFill>
              </a:ln>
            </c:spPr>
          </c:marker>
          <c:xVal>
            <c:strRef>
              <c:f>calc!$J$113:$J$306</c:f>
              <c:strCache>
                <c:ptCount val="82"/>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strCache>
            </c:strRef>
          </c:xVal>
          <c:yVal>
            <c:numRef>
              <c:f>calc!$P$113:$P$306</c:f>
              <c:numCache>
                <c:formatCode>0</c:formatCode>
                <c:ptCount val="194"/>
                <c:pt idx="1">
                  <c:v>58248.636612675786</c:v>
                </c:pt>
                <c:pt idx="2">
                  <c:v>68128.178096133794</c:v>
                </c:pt>
                <c:pt idx="3">
                  <c:v>64709.172393255314</c:v>
                </c:pt>
                <c:pt idx="4">
                  <c:v>67312.709746295513</c:v>
                </c:pt>
                <c:pt idx="5">
                  <c:v>69680.789761169814</c:v>
                </c:pt>
                <c:pt idx="6">
                  <c:v>65310.905675424241</c:v>
                </c:pt>
                <c:pt idx="7">
                  <c:v>69944.07236382259</c:v>
                </c:pt>
                <c:pt idx="8">
                  <c:v>69655.215781662569</c:v>
                </c:pt>
                <c:pt idx="9">
                  <c:v>68925.207431449191</c:v>
                </c:pt>
                <c:pt idx="10">
                  <c:v>63611.19948173016</c:v>
                </c:pt>
                <c:pt idx="11">
                  <c:v>66562.779373233308</c:v>
                </c:pt>
                <c:pt idx="12">
                  <c:v>71656.563288983714</c:v>
                </c:pt>
                <c:pt idx="13">
                  <c:v>71053.073663578034</c:v>
                </c:pt>
                <c:pt idx="14">
                  <c:v>69308.581005386732</c:v>
                </c:pt>
                <c:pt idx="15">
                  <c:v>67129.028172528808</c:v>
                </c:pt>
                <c:pt idx="16">
                  <c:v>73522.591972036898</c:v>
                </c:pt>
                <c:pt idx="17">
                  <c:v>71990.706789467862</c:v>
                </c:pt>
                <c:pt idx="18">
                  <c:v>68755.953212880951</c:v>
                </c:pt>
                <c:pt idx="19">
                  <c:v>68975.644239916131</c:v>
                </c:pt>
                <c:pt idx="20">
                  <c:v>68775.425094113714</c:v>
                </c:pt>
                <c:pt idx="21">
                  <c:v>68408.492886166991</c:v>
                </c:pt>
                <c:pt idx="22">
                  <c:v>70427.312979327398</c:v>
                </c:pt>
                <c:pt idx="23">
                  <c:v>66532.913239066562</c:v>
                </c:pt>
                <c:pt idx="24">
                  <c:v>70158.039828712368</c:v>
                </c:pt>
                <c:pt idx="25">
                  <c:v>70332.188848364356</c:v>
                </c:pt>
                <c:pt idx="26">
                  <c:v>68485.140663650251</c:v>
                </c:pt>
                <c:pt idx="27">
                  <c:v>75455.245442986648</c:v>
                </c:pt>
                <c:pt idx="28">
                  <c:v>69948.874563725039</c:v>
                </c:pt>
                <c:pt idx="29">
                  <c:v>68390.399483132685</c:v>
                </c:pt>
                <c:pt idx="30">
                  <c:v>67837.766023466407</c:v>
                </c:pt>
                <c:pt idx="31">
                  <c:v>69150.469538058489</c:v>
                </c:pt>
                <c:pt idx="32">
                  <c:v>72284.151283284722</c:v>
                </c:pt>
                <c:pt idx="33">
                  <c:v>71743.202880497629</c:v>
                </c:pt>
                <c:pt idx="34">
                  <c:v>67747.814691548163</c:v>
                </c:pt>
                <c:pt idx="35">
                  <c:v>64567.036004593203</c:v>
                </c:pt>
                <c:pt idx="36">
                  <c:v>69690.945506765856</c:v>
                </c:pt>
                <c:pt idx="37">
                  <c:v>71406.675862802585</c:v>
                </c:pt>
                <c:pt idx="38">
                  <c:v>72326.013736375768</c:v>
                </c:pt>
                <c:pt idx="39">
                  <c:v>70284.377281940018</c:v>
                </c:pt>
                <c:pt idx="40">
                  <c:v>68599.600101171993</c:v>
                </c:pt>
                <c:pt idx="41">
                  <c:v>72459.295401328374</c:v>
                </c:pt>
                <c:pt idx="42">
                  <c:v>70705.027925879564</c:v>
                </c:pt>
                <c:pt idx="43">
                  <c:v>67753.697199847782</c:v>
                </c:pt>
                <c:pt idx="44">
                  <c:v>70834.653962160199</c:v>
                </c:pt>
                <c:pt idx="45">
                  <c:v>73471.301976629853</c:v>
                </c:pt>
                <c:pt idx="46">
                  <c:v>65888.007643541612</c:v>
                </c:pt>
                <c:pt idx="47">
                  <c:v>66880.541925187543</c:v>
                </c:pt>
                <c:pt idx="48">
                  <c:v>68729.652367547809</c:v>
                </c:pt>
                <c:pt idx="49">
                  <c:v>71242.432760280295</c:v>
                </c:pt>
                <c:pt idx="50">
                  <c:v>69028.576227146652</c:v>
                </c:pt>
                <c:pt idx="51">
                  <c:v>73099.639724333669</c:v>
                </c:pt>
                <c:pt idx="52">
                  <c:v>71092.727892081166</c:v>
                </c:pt>
                <c:pt idx="53">
                  <c:v>65422.098047123996</c:v>
                </c:pt>
                <c:pt idx="54">
                  <c:v>71501.049004146524</c:v>
                </c:pt>
                <c:pt idx="55">
                  <c:v>71061.020062800148</c:v>
                </c:pt>
                <c:pt idx="56">
                  <c:v>67504.868520226169</c:v>
                </c:pt>
                <c:pt idx="57">
                  <c:v>72523.360914369448</c:v>
                </c:pt>
                <c:pt idx="58">
                  <c:v>70848.884340916658</c:v>
                </c:pt>
                <c:pt idx="59">
                  <c:v>69267.118555591631</c:v>
                </c:pt>
                <c:pt idx="60">
                  <c:v>70885.943550122058</c:v>
                </c:pt>
                <c:pt idx="61">
                  <c:v>68448.092608647028</c:v>
                </c:pt>
                <c:pt idx="62">
                  <c:v>70011.495822391968</c:v>
                </c:pt>
                <c:pt idx="63">
                  <c:v>72090.488924606878</c:v>
                </c:pt>
                <c:pt idx="64">
                  <c:v>71676.570184405675</c:v>
                </c:pt>
                <c:pt idx="65">
                  <c:v>68542.772749619369</c:v>
                </c:pt>
                <c:pt idx="66">
                  <c:v>69031.018836225267</c:v>
                </c:pt>
                <c:pt idx="67">
                  <c:v>67153.686468170636</c:v>
                </c:pt>
                <c:pt idx="68">
                  <c:v>68076.719914324989</c:v>
                </c:pt>
                <c:pt idx="69">
                  <c:v>70855.128943935022</c:v>
                </c:pt>
                <c:pt idx="70">
                  <c:v>69593.422515077764</c:v>
                </c:pt>
                <c:pt idx="71">
                  <c:v>69415.19193754642</c:v>
                </c:pt>
                <c:pt idx="72">
                  <c:v>69665.817515906965</c:v>
                </c:pt>
                <c:pt idx="73">
                  <c:v>68392.300951841564</c:v>
                </c:pt>
                <c:pt idx="74">
                  <c:v>67938.654129886811</c:v>
                </c:pt>
                <c:pt idx="75">
                  <c:v>71145.753917233014</c:v>
                </c:pt>
                <c:pt idx="76">
                  <c:v>71944.137941253546</c:v>
                </c:pt>
                <c:pt idx="77">
                  <c:v>73002.154224833808</c:v>
                </c:pt>
                <c:pt idx="78">
                  <c:v>70619.831816634047</c:v>
                </c:pt>
                <c:pt idx="79">
                  <c:v>68842.225442668074</c:v>
                </c:pt>
                <c:pt idx="80">
                  <c:v>69271.934015103456</c:v>
                </c:pt>
                <c:pt idx="81">
                  <c:v>180791.5451800586</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91" formatCode="0.0">
                  <c:v>0</c:v>
                </c:pt>
                <c:pt idx="192" formatCode="0.0">
                  <c:v>0</c:v>
                </c:pt>
                <c:pt idx="193" formatCode="0.0">
                  <c:v>0</c:v>
                </c:pt>
              </c:numCache>
            </c:numRef>
          </c:yVal>
          <c:smooth val="1"/>
          <c:extLst>
            <c:ext xmlns:c16="http://schemas.microsoft.com/office/drawing/2014/chart" uri="{C3380CC4-5D6E-409C-BE32-E72D297353CC}">
              <c16:uniqueId val="{00000004-BFF0-4C02-8298-DFAFAFD1392C}"/>
            </c:ext>
          </c:extLst>
        </c:ser>
        <c:dLbls>
          <c:showLegendKey val="0"/>
          <c:showVal val="0"/>
          <c:showCatName val="0"/>
          <c:showSerName val="0"/>
          <c:showPercent val="0"/>
          <c:showBubbleSize val="0"/>
        </c:dLbls>
        <c:axId val="39875328"/>
        <c:axId val="39877632"/>
      </c:scatterChart>
      <c:valAx>
        <c:axId val="39875328"/>
        <c:scaling>
          <c:orientation val="minMax"/>
          <c:min val="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DE"/>
          </a:p>
        </c:txPr>
        <c:crossAx val="39877632"/>
        <c:crosses val="autoZero"/>
        <c:crossBetween val="midCat"/>
        <c:majorUnit val="1"/>
      </c:valAx>
      <c:valAx>
        <c:axId val="39877632"/>
        <c:scaling>
          <c:orientation val="minMax"/>
          <c:min val="0"/>
        </c:scaling>
        <c:delete val="0"/>
        <c:axPos val="l"/>
        <c:majorGridlines>
          <c:spPr>
            <a:ln w="3175">
              <a:solidFill>
                <a:schemeClr val="bg1">
                  <a:lumMod val="85000"/>
                </a:schemeClr>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DE"/>
          </a:p>
        </c:txPr>
        <c:crossAx val="39875328"/>
        <c:crossesAt val="0"/>
        <c:crossBetween val="midCat"/>
      </c:valAx>
      <c:spPr>
        <a:solidFill>
          <a:schemeClr val="bg1"/>
        </a:solidFill>
        <a:ln w="12700">
          <a:solidFill>
            <a:schemeClr val="tx1"/>
          </a:solidFill>
          <a:prstDash val="solid"/>
        </a:ln>
      </c:spPr>
    </c:plotArea>
    <c:legend>
      <c:legendPos val="tr"/>
      <c:layout>
        <c:manualLayout>
          <c:xMode val="edge"/>
          <c:yMode val="edge"/>
          <c:x val="9.8534345058053863E-2"/>
          <c:y val="1.6457219279197428E-2"/>
          <c:w val="0.65463123383058008"/>
          <c:h val="5.0446724420344514E-2"/>
        </c:manualLayout>
      </c:layout>
      <c:overlay val="0"/>
      <c:spPr>
        <a:solidFill>
          <a:schemeClr val="bg1">
            <a:lumMod val="95000"/>
          </a:schemeClr>
        </a:solidFill>
        <a:ln w="3175">
          <a:solidFill>
            <a:srgbClr val="000000"/>
          </a:solidFill>
          <a:prstDash val="solid"/>
        </a:ln>
      </c:spPr>
      <c:txPr>
        <a:bodyPr/>
        <a:lstStyle/>
        <a:p>
          <a:pPr>
            <a:defRPr sz="1600" b="0" i="0" u="none" strike="noStrike" baseline="0">
              <a:solidFill>
                <a:srgbClr val="000000"/>
              </a:solidFill>
              <a:latin typeface="Arial" panose="020B0604020202020204" pitchFamily="34" charset="0"/>
              <a:ea typeface="Arial"/>
              <a:cs typeface="Arial" panose="020B0604020202020204" pitchFamily="34" charset="0"/>
            </a:defRPr>
          </a:pPr>
          <a:endParaRPr lang="en-DE"/>
        </a:p>
      </c:txPr>
    </c:legend>
    <c:plotVisOnly val="1"/>
    <c:dispBlanksAs val="gap"/>
    <c:showDLblsOverMax val="0"/>
  </c:chart>
  <c:spPr>
    <a:solidFill>
      <a:srgbClr val="FFFF66"/>
    </a:solidFill>
    <a:ln w="3175">
      <a:solidFill>
        <a:srgbClr val="000000"/>
      </a:solidFill>
    </a:ln>
  </c:spPr>
  <c:txPr>
    <a:bodyPr/>
    <a:lstStyle/>
    <a:p>
      <a:pPr>
        <a:defRPr sz="800" b="0" i="0" u="none" strike="noStrike" baseline="0">
          <a:solidFill>
            <a:srgbClr val="000000"/>
          </a:solidFill>
          <a:latin typeface="Arial"/>
          <a:ea typeface="Arial"/>
          <a:cs typeface="Arial"/>
        </a:defRPr>
      </a:pPr>
      <a:endParaRPr lang="en-DE"/>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646184699778626E-2"/>
          <c:y val="2.0246457026763035E-2"/>
          <c:w val="0.8865022918553106"/>
          <c:h val="0.88005054430215401"/>
        </c:manualLayout>
      </c:layout>
      <c:scatterChart>
        <c:scatterStyle val="lineMarker"/>
        <c:varyColors val="0"/>
        <c:ser>
          <c:idx val="0"/>
          <c:order val="0"/>
          <c:spPr>
            <a:ln w="28575">
              <a:noFill/>
            </a:ln>
          </c:spPr>
          <c:yVal>
            <c:numRef>
              <c:f>calc!$G$114:$G$313</c:f>
              <c:numCache>
                <c:formatCode>0</c:formatCode>
                <c:ptCount val="200"/>
                <c:pt idx="0">
                  <c:v>58248.636612675786</c:v>
                </c:pt>
                <c:pt idx="1">
                  <c:v>68128.178096133794</c:v>
                </c:pt>
                <c:pt idx="2">
                  <c:v>64709.172393255314</c:v>
                </c:pt>
                <c:pt idx="3">
                  <c:v>67312.709746295513</c:v>
                </c:pt>
                <c:pt idx="4">
                  <c:v>69680.789761169814</c:v>
                </c:pt>
                <c:pt idx="5">
                  <c:v>65310.905675424241</c:v>
                </c:pt>
                <c:pt idx="6">
                  <c:v>69944.07236382259</c:v>
                </c:pt>
                <c:pt idx="7">
                  <c:v>69655.215781662569</c:v>
                </c:pt>
                <c:pt idx="8">
                  <c:v>68925.207431449191</c:v>
                </c:pt>
                <c:pt idx="9">
                  <c:v>63611.19948173016</c:v>
                </c:pt>
                <c:pt idx="10">
                  <c:v>66562.779373233308</c:v>
                </c:pt>
                <c:pt idx="11">
                  <c:v>71656.563288983714</c:v>
                </c:pt>
                <c:pt idx="12">
                  <c:v>71053.073663578034</c:v>
                </c:pt>
                <c:pt idx="13">
                  <c:v>69308.581005386732</c:v>
                </c:pt>
                <c:pt idx="14">
                  <c:v>67129.028172528808</c:v>
                </c:pt>
                <c:pt idx="15">
                  <c:v>73522.591972036898</c:v>
                </c:pt>
                <c:pt idx="16">
                  <c:v>71990.706789467862</c:v>
                </c:pt>
                <c:pt idx="17">
                  <c:v>68755.953212880951</c:v>
                </c:pt>
                <c:pt idx="18">
                  <c:v>68975.644239916131</c:v>
                </c:pt>
                <c:pt idx="19">
                  <c:v>68775.425094113714</c:v>
                </c:pt>
                <c:pt idx="20">
                  <c:v>68408.492886166991</c:v>
                </c:pt>
                <c:pt idx="21">
                  <c:v>70427.312979327398</c:v>
                </c:pt>
                <c:pt idx="22">
                  <c:v>66532.913239066562</c:v>
                </c:pt>
                <c:pt idx="23">
                  <c:v>70158.039828712368</c:v>
                </c:pt>
                <c:pt idx="24">
                  <c:v>70332.188848364356</c:v>
                </c:pt>
                <c:pt idx="25">
                  <c:v>68485.140663650251</c:v>
                </c:pt>
                <c:pt idx="26">
                  <c:v>75455.245442986648</c:v>
                </c:pt>
                <c:pt idx="27">
                  <c:v>69948.874563725039</c:v>
                </c:pt>
                <c:pt idx="28">
                  <c:v>68390.399483132685</c:v>
                </c:pt>
                <c:pt idx="29">
                  <c:v>67837.766023466407</c:v>
                </c:pt>
                <c:pt idx="30">
                  <c:v>69150.469538058489</c:v>
                </c:pt>
                <c:pt idx="31">
                  <c:v>72284.151283284722</c:v>
                </c:pt>
                <c:pt idx="32">
                  <c:v>71743.202880497629</c:v>
                </c:pt>
                <c:pt idx="33">
                  <c:v>67747.814691548163</c:v>
                </c:pt>
                <c:pt idx="34">
                  <c:v>64567.036004593203</c:v>
                </c:pt>
                <c:pt idx="35">
                  <c:v>69690.945506765856</c:v>
                </c:pt>
                <c:pt idx="36">
                  <c:v>71406.675862802585</c:v>
                </c:pt>
                <c:pt idx="37">
                  <c:v>72326.013736375768</c:v>
                </c:pt>
                <c:pt idx="38">
                  <c:v>70284.377281940018</c:v>
                </c:pt>
                <c:pt idx="39">
                  <c:v>68599.600101171993</c:v>
                </c:pt>
                <c:pt idx="40">
                  <c:v>72459.295401328374</c:v>
                </c:pt>
                <c:pt idx="41">
                  <c:v>70705.027925879564</c:v>
                </c:pt>
                <c:pt idx="42">
                  <c:v>67753.697199847782</c:v>
                </c:pt>
                <c:pt idx="43">
                  <c:v>70834.653962160199</c:v>
                </c:pt>
                <c:pt idx="44">
                  <c:v>73471.301976629853</c:v>
                </c:pt>
                <c:pt idx="45">
                  <c:v>65888.007643541612</c:v>
                </c:pt>
                <c:pt idx="46">
                  <c:v>66880.541925187543</c:v>
                </c:pt>
                <c:pt idx="47">
                  <c:v>68729.652367547809</c:v>
                </c:pt>
                <c:pt idx="48">
                  <c:v>71242.432760280295</c:v>
                </c:pt>
                <c:pt idx="49">
                  <c:v>69028.576227146652</c:v>
                </c:pt>
                <c:pt idx="50">
                  <c:v>73099.639724333669</c:v>
                </c:pt>
                <c:pt idx="51">
                  <c:v>71092.727892081166</c:v>
                </c:pt>
                <c:pt idx="52">
                  <c:v>65422.098047123996</c:v>
                </c:pt>
                <c:pt idx="53">
                  <c:v>71501.049004146524</c:v>
                </c:pt>
                <c:pt idx="54">
                  <c:v>71061.020062800148</c:v>
                </c:pt>
                <c:pt idx="55">
                  <c:v>67504.868520226169</c:v>
                </c:pt>
                <c:pt idx="56">
                  <c:v>72523.360914369448</c:v>
                </c:pt>
                <c:pt idx="57">
                  <c:v>70848.884340916658</c:v>
                </c:pt>
                <c:pt idx="58">
                  <c:v>69267.118555591631</c:v>
                </c:pt>
                <c:pt idx="59">
                  <c:v>70885.943550122058</c:v>
                </c:pt>
                <c:pt idx="60">
                  <c:v>68448.092608647028</c:v>
                </c:pt>
                <c:pt idx="61">
                  <c:v>70011.495822391968</c:v>
                </c:pt>
                <c:pt idx="62">
                  <c:v>72090.488924606878</c:v>
                </c:pt>
                <c:pt idx="63">
                  <c:v>71676.570184405675</c:v>
                </c:pt>
                <c:pt idx="64">
                  <c:v>68542.772749619369</c:v>
                </c:pt>
                <c:pt idx="65">
                  <c:v>69031.018836225267</c:v>
                </c:pt>
                <c:pt idx="66">
                  <c:v>67153.686468170636</c:v>
                </c:pt>
                <c:pt idx="67">
                  <c:v>68076.719914324989</c:v>
                </c:pt>
                <c:pt idx="68">
                  <c:v>70855.128943935022</c:v>
                </c:pt>
                <c:pt idx="69">
                  <c:v>69593.422515077764</c:v>
                </c:pt>
                <c:pt idx="70">
                  <c:v>69415.19193754642</c:v>
                </c:pt>
                <c:pt idx="71">
                  <c:v>69665.817515906965</c:v>
                </c:pt>
                <c:pt idx="72">
                  <c:v>68392.300951841564</c:v>
                </c:pt>
                <c:pt idx="73">
                  <c:v>67938.654129886811</c:v>
                </c:pt>
                <c:pt idx="74">
                  <c:v>71145.753917233014</c:v>
                </c:pt>
                <c:pt idx="75">
                  <c:v>71944.137941253546</c:v>
                </c:pt>
                <c:pt idx="76">
                  <c:v>73002.154224833808</c:v>
                </c:pt>
                <c:pt idx="77">
                  <c:v>70619.831816634047</c:v>
                </c:pt>
                <c:pt idx="78">
                  <c:v>68842.225442668074</c:v>
                </c:pt>
                <c:pt idx="79">
                  <c:v>69271.934015103456</c:v>
                </c:pt>
                <c:pt idx="80">
                  <c:v>180791.5451800586</c:v>
                </c:pt>
                <c:pt idx="81">
                  <c:v>938014.64671148825</c:v>
                </c:pt>
                <c:pt idx="82">
                  <c:v>2699945.4367451095</c:v>
                </c:pt>
                <c:pt idx="83">
                  <c:v>4573753.4390306743</c:v>
                </c:pt>
                <c:pt idx="84">
                  <c:v>5921272.4610698139</c:v>
                </c:pt>
                <c:pt idx="85">
                  <c:v>6872022.8102480453</c:v>
                </c:pt>
                <c:pt idx="86">
                  <c:v>7246510.7645636154</c:v>
                </c:pt>
                <c:pt idx="87">
                  <c:v>7412058.1605484132</c:v>
                </c:pt>
                <c:pt idx="88">
                  <c:v>7409256.1398820225</c:v>
                </c:pt>
                <c:pt idx="89">
                  <c:v>7559988.6533879759</c:v>
                </c:pt>
                <c:pt idx="90">
                  <c:v>7674786.4132622592</c:v>
                </c:pt>
                <c:pt idx="91">
                  <c:v>7337587.5009848112</c:v>
                </c:pt>
                <c:pt idx="92">
                  <c:v>7286415.2136647664</c:v>
                </c:pt>
                <c:pt idx="93">
                  <c:v>7520771.6635120371</c:v>
                </c:pt>
                <c:pt idx="94">
                  <c:v>7541542.9409901984</c:v>
                </c:pt>
                <c:pt idx="95">
                  <c:v>7344254.106869285</c:v>
                </c:pt>
                <c:pt idx="96">
                  <c:v>7309473.0172309242</c:v>
                </c:pt>
                <c:pt idx="97">
                  <c:v>7373113.9414503789</c:v>
                </c:pt>
                <c:pt idx="98">
                  <c:v>7260908.0138357561</c:v>
                </c:pt>
                <c:pt idx="99">
                  <c:v>7302453.3134633191</c:v>
                </c:pt>
                <c:pt idx="100">
                  <c:v>7245006.036329194</c:v>
                </c:pt>
                <c:pt idx="101">
                  <c:v>7212909.0398778822</c:v>
                </c:pt>
                <c:pt idx="102">
                  <c:v>7240507.6268101819</c:v>
                </c:pt>
                <c:pt idx="103">
                  <c:v>7309633.1265591504</c:v>
                </c:pt>
                <c:pt idx="104">
                  <c:v>7348890.2309191823</c:v>
                </c:pt>
                <c:pt idx="105">
                  <c:v>7323404.8257642472</c:v>
                </c:pt>
                <c:pt idx="106">
                  <c:v>7263325.7202574853</c:v>
                </c:pt>
                <c:pt idx="107">
                  <c:v>7201453.0480655562</c:v>
                </c:pt>
                <c:pt idx="108">
                  <c:v>7158872.9811762385</c:v>
                </c:pt>
                <c:pt idx="109">
                  <c:v>7153044.7127642259</c:v>
                </c:pt>
                <c:pt idx="110">
                  <c:v>7129177.2840516381</c:v>
                </c:pt>
                <c:pt idx="111">
                  <c:v>7041913.4740705919</c:v>
                </c:pt>
                <c:pt idx="112">
                  <c:v>6993684.2178022563</c:v>
                </c:pt>
                <c:pt idx="113">
                  <c:v>6949814.1394206723</c:v>
                </c:pt>
                <c:pt idx="114">
                  <c:v>6927364.588639061</c:v>
                </c:pt>
                <c:pt idx="115">
                  <c:v>6881608.884364781</c:v>
                </c:pt>
                <c:pt idx="116">
                  <c:v>6886579.3521957751</c:v>
                </c:pt>
                <c:pt idx="117">
                  <c:v>6952954.178998963</c:v>
                </c:pt>
                <c:pt idx="118">
                  <c:v>7001421.0620266227</c:v>
                </c:pt>
                <c:pt idx="119">
                  <c:v>6994790.5378353596</c:v>
                </c:pt>
                <c:pt idx="120">
                  <c:v>6920599.3346318407</c:v>
                </c:pt>
                <c:pt idx="121">
                  <c:v>6855955.631680958</c:v>
                </c:pt>
                <c:pt idx="122">
                  <c:v>6773008.1651609521</c:v>
                </c:pt>
                <c:pt idx="123">
                  <c:v>6674163.0521730529</c:v>
                </c:pt>
                <c:pt idx="124">
                  <c:v>6604937.7913621441</c:v>
                </c:pt>
                <c:pt idx="125">
                  <c:v>6615854.2773699798</c:v>
                </c:pt>
                <c:pt idx="126">
                  <c:v>6764689.5204684427</c:v>
                </c:pt>
                <c:pt idx="127">
                  <c:v>6921936.9396067485</c:v>
                </c:pt>
                <c:pt idx="128">
                  <c:v>6990170.2498110281</c:v>
                </c:pt>
                <c:pt idx="129">
                  <c:v>6944837.8703829842</c:v>
                </c:pt>
                <c:pt idx="130">
                  <c:v>6759630.490318493</c:v>
                </c:pt>
                <c:pt idx="131">
                  <c:v>6699912.2660861043</c:v>
                </c:pt>
                <c:pt idx="132">
                  <c:v>6664701.5829727007</c:v>
                </c:pt>
                <c:pt idx="133">
                  <c:v>6674956.8811998386</c:v>
                </c:pt>
                <c:pt idx="134">
                  <c:v>6700810.1811379874</c:v>
                </c:pt>
                <c:pt idx="135">
                  <c:v>6684998.4918022808</c:v>
                </c:pt>
                <c:pt idx="136">
                  <c:v>6674098.9561258275</c:v>
                </c:pt>
                <c:pt idx="137">
                  <c:v>6722500.2205930613</c:v>
                </c:pt>
                <c:pt idx="138">
                  <c:v>6735898.108735661</c:v>
                </c:pt>
                <c:pt idx="139">
                  <c:v>6749831.7038815729</c:v>
                </c:pt>
                <c:pt idx="140">
                  <c:v>6748578.1141825486</c:v>
                </c:pt>
                <c:pt idx="141">
                  <c:v>6666404.388589358</c:v>
                </c:pt>
                <c:pt idx="142">
                  <c:v>6590879.0674944678</c:v>
                </c:pt>
                <c:pt idx="143">
                  <c:v>6618334.8387501072</c:v>
                </c:pt>
                <c:pt idx="144">
                  <c:v>6663552.6490844693</c:v>
                </c:pt>
                <c:pt idx="145">
                  <c:v>6714752.2689549113</c:v>
                </c:pt>
                <c:pt idx="146">
                  <c:v>6734323.520051213</c:v>
                </c:pt>
                <c:pt idx="147">
                  <c:v>6721805.9414024688</c:v>
                </c:pt>
                <c:pt idx="148">
                  <c:v>6700546.3622461725</c:v>
                </c:pt>
                <c:pt idx="149">
                  <c:v>6705245.4429046316</c:v>
                </c:pt>
                <c:pt idx="150">
                  <c:v>6724225.8116928339</c:v>
                </c:pt>
                <c:pt idx="151">
                  <c:v>6716237.9480211604</c:v>
                </c:pt>
                <c:pt idx="152">
                  <c:v>6646887.0665240157</c:v>
                </c:pt>
                <c:pt idx="153">
                  <c:v>6563011.3175160764</c:v>
                </c:pt>
                <c:pt idx="154">
                  <c:v>6532629.3655958399</c:v>
                </c:pt>
                <c:pt idx="155">
                  <c:v>6551656.7974283714</c:v>
                </c:pt>
                <c:pt idx="156">
                  <c:v>6580674.3307843823</c:v>
                </c:pt>
                <c:pt idx="157">
                  <c:v>6585177.8282084502</c:v>
                </c:pt>
                <c:pt idx="158">
                  <c:v>6590760.6072558435</c:v>
                </c:pt>
                <c:pt idx="159">
                  <c:v>6603557.1263090838</c:v>
                </c:pt>
                <c:pt idx="160">
                  <c:v>6550847.044759742</c:v>
                </c:pt>
                <c:pt idx="161">
                  <c:v>6534933.4553590463</c:v>
                </c:pt>
                <c:pt idx="162">
                  <c:v>6516017.0670351116</c:v>
                </c:pt>
                <c:pt idx="163">
                  <c:v>6470560.8059005681</c:v>
                </c:pt>
                <c:pt idx="164">
                  <c:v>6428285.5632956065</c:v>
                </c:pt>
                <c:pt idx="165">
                  <c:v>6340256.6528176516</c:v>
                </c:pt>
                <c:pt idx="166">
                  <c:v>6294428.6625561127</c:v>
                </c:pt>
                <c:pt idx="167">
                  <c:v>6309567.7393019861</c:v>
                </c:pt>
                <c:pt idx="168">
                  <c:v>6329281.394974512</c:v>
                </c:pt>
                <c:pt idx="169">
                  <c:v>6329803.9529851768</c:v>
                </c:pt>
                <c:pt idx="170">
                  <c:v>6278438.6151956357</c:v>
                </c:pt>
                <c:pt idx="171">
                  <c:v>6215436.8522829087</c:v>
                </c:pt>
                <c:pt idx="172">
                  <c:v>6188786.1028864542</c:v>
                </c:pt>
                <c:pt idx="173">
                  <c:v>6167669.2331819199</c:v>
                </c:pt>
                <c:pt idx="174">
                  <c:v>6133991.6293249838</c:v>
                </c:pt>
                <c:pt idx="175">
                  <c:v>6110640.2854579994</c:v>
                </c:pt>
                <c:pt idx="176">
                  <c:v>6119602.2682370041</c:v>
                </c:pt>
                <c:pt idx="177">
                  <c:v>6128252.8941478422</c:v>
                </c:pt>
                <c:pt idx="178">
                  <c:v>6151455.9342747517</c:v>
                </c:pt>
                <c:pt idx="179">
                  <c:v>6180913.2563136509</c:v>
                </c:pt>
                <c:pt idx="180">
                  <c:v>6188510.7071753591</c:v>
                </c:pt>
                <c:pt idx="181">
                  <c:v>6168300.4875889737</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yVal>
          <c:smooth val="0"/>
          <c:extLst>
            <c:ext xmlns:c16="http://schemas.microsoft.com/office/drawing/2014/chart" uri="{C3380CC4-5D6E-409C-BE32-E72D297353CC}">
              <c16:uniqueId val="{00000000-16C8-49B6-9DA9-5703A9792404}"/>
            </c:ext>
          </c:extLst>
        </c:ser>
        <c:dLbls>
          <c:showLegendKey val="0"/>
          <c:showVal val="0"/>
          <c:showCatName val="0"/>
          <c:showSerName val="0"/>
          <c:showPercent val="0"/>
          <c:showBubbleSize val="0"/>
        </c:dLbls>
        <c:axId val="39894016"/>
        <c:axId val="39904000"/>
      </c:scatterChart>
      <c:valAx>
        <c:axId val="39894016"/>
        <c:scaling>
          <c:orientation val="minMax"/>
        </c:scaling>
        <c:delete val="0"/>
        <c:axPos val="b"/>
        <c:majorTickMark val="out"/>
        <c:minorTickMark val="none"/>
        <c:tickLblPos val="nextTo"/>
        <c:crossAx val="39904000"/>
        <c:crosses val="autoZero"/>
        <c:crossBetween val="midCat"/>
      </c:valAx>
      <c:valAx>
        <c:axId val="39904000"/>
        <c:scaling>
          <c:orientation val="minMax"/>
        </c:scaling>
        <c:delete val="0"/>
        <c:axPos val="l"/>
        <c:majorGridlines/>
        <c:numFmt formatCode="0" sourceLinked="1"/>
        <c:majorTickMark val="out"/>
        <c:minorTickMark val="none"/>
        <c:tickLblPos val="nextTo"/>
        <c:crossAx val="39894016"/>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strRef>
              <c:f>calc!$L$112:$R$112</c:f>
              <c:strCache>
                <c:ptCount val="7"/>
                <c:pt idx="0">
                  <c:v>9.9</c:v>
                </c:pt>
                <c:pt idx="1">
                  <c:v>10</c:v>
                </c:pt>
                <c:pt idx="2">
                  <c:v>10.11</c:v>
                </c:pt>
                <c:pt idx="3">
                  <c:v>10.457</c:v>
                </c:pt>
                <c:pt idx="4">
                  <c:v>11B</c:v>
                </c:pt>
                <c:pt idx="5">
                  <c:v>10.63</c:v>
                </c:pt>
                <c:pt idx="6">
                  <c:v>10.9</c:v>
                </c:pt>
              </c:strCache>
            </c:strRef>
          </c:xVal>
          <c:yVal>
            <c:numRef>
              <c:f>calc!$L$309:$R$309</c:f>
              <c:numCache>
                <c:formatCode>0</c:formatCode>
                <c:ptCount val="7"/>
                <c:pt idx="0">
                  <c:v>19333.298165516553</c:v>
                </c:pt>
                <c:pt idx="1">
                  <c:v>32879.400931716758</c:v>
                </c:pt>
                <c:pt idx="2">
                  <c:v>18208.07234542392</c:v>
                </c:pt>
                <c:pt idx="3">
                  <c:v>18208.07234542392</c:v>
                </c:pt>
                <c:pt idx="4">
                  <c:v>70786.937494358222</c:v>
                </c:pt>
                <c:pt idx="5">
                  <c:v>10724.464964747658</c:v>
                </c:pt>
                <c:pt idx="6">
                  <c:v>11065.24262913285</c:v>
                </c:pt>
              </c:numCache>
            </c:numRef>
          </c:yVal>
          <c:smooth val="0"/>
          <c:extLst>
            <c:ext xmlns:c16="http://schemas.microsoft.com/office/drawing/2014/chart" uri="{C3380CC4-5D6E-409C-BE32-E72D297353CC}">
              <c16:uniqueId val="{00000000-FABA-4485-B8B4-2C517BAA0CBE}"/>
            </c:ext>
          </c:extLst>
        </c:ser>
        <c:dLbls>
          <c:showLegendKey val="0"/>
          <c:showVal val="0"/>
          <c:showCatName val="0"/>
          <c:showSerName val="0"/>
          <c:showPercent val="0"/>
          <c:showBubbleSize val="0"/>
        </c:dLbls>
        <c:axId val="39952384"/>
        <c:axId val="39953920"/>
      </c:scatterChart>
      <c:valAx>
        <c:axId val="39952384"/>
        <c:scaling>
          <c:orientation val="minMax"/>
        </c:scaling>
        <c:delete val="0"/>
        <c:axPos val="b"/>
        <c:numFmt formatCode="General" sourceLinked="0"/>
        <c:majorTickMark val="out"/>
        <c:minorTickMark val="none"/>
        <c:tickLblPos val="nextTo"/>
        <c:crossAx val="39953920"/>
        <c:crosses val="autoZero"/>
        <c:crossBetween val="midCat"/>
      </c:valAx>
      <c:valAx>
        <c:axId val="39953920"/>
        <c:scaling>
          <c:orientation val="minMax"/>
        </c:scaling>
        <c:delete val="0"/>
        <c:axPos val="l"/>
        <c:majorGridlines/>
        <c:numFmt formatCode="0" sourceLinked="1"/>
        <c:majorTickMark val="out"/>
        <c:minorTickMark val="none"/>
        <c:tickLblPos val="nextTo"/>
        <c:crossAx val="39952384"/>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19111705487354"/>
          <c:y val="3.5468105033126363E-2"/>
          <c:w val="0.83270354837912897"/>
          <c:h val="0.92036525720628537"/>
        </c:manualLayout>
      </c:layout>
      <c:scatterChart>
        <c:scatterStyle val="lineMarker"/>
        <c:varyColors val="0"/>
        <c:ser>
          <c:idx val="0"/>
          <c:order val="0"/>
          <c:spPr>
            <a:ln w="28575">
              <a:noFill/>
            </a:ln>
          </c:spPr>
          <c:yVal>
            <c:numRef>
              <c:f>calc!$C$3:$C$100</c:f>
              <c:numCache>
                <c:formatCode>0</c:formatCode>
                <c:ptCount val="98"/>
                <c:pt idx="0">
                  <c:v>4056.6138929901099</c:v>
                </c:pt>
                <c:pt idx="1">
                  <c:v>841.31742646309067</c:v>
                </c:pt>
                <c:pt idx="2">
                  <c:v>-1436.8277447220789</c:v>
                </c:pt>
                <c:pt idx="3">
                  <c:v>-735.33496240778186</c:v>
                </c:pt>
                <c:pt idx="4">
                  <c:v>466.2901778755986</c:v>
                </c:pt>
                <c:pt idx="5">
                  <c:v>2546.1517424047925</c:v>
                </c:pt>
                <c:pt idx="6">
                  <c:v>-2406.3164987865966</c:v>
                </c:pt>
                <c:pt idx="7">
                  <c:v>732.2230612518797</c:v>
                </c:pt>
                <c:pt idx="8">
                  <c:v>-163.29852101823781</c:v>
                </c:pt>
                <c:pt idx="9">
                  <c:v>-566.76183047817176</c:v>
                </c:pt>
                <c:pt idx="10">
                  <c:v>-74.489962323590589</c:v>
                </c:pt>
                <c:pt idx="11">
                  <c:v>1583.2594777231207</c:v>
                </c:pt>
                <c:pt idx="12">
                  <c:v>1790.4869634830648</c:v>
                </c:pt>
                <c:pt idx="13">
                  <c:v>76.126746577167069</c:v>
                </c:pt>
                <c:pt idx="14">
                  <c:v>827.68148261220995</c:v>
                </c:pt>
                <c:pt idx="15">
                  <c:v>161.52881135324787</c:v>
                </c:pt>
                <c:pt idx="16">
                  <c:v>483.64750738865405</c:v>
                </c:pt>
                <c:pt idx="17">
                  <c:v>428.018620808165</c:v>
                </c:pt>
                <c:pt idx="18">
                  <c:v>-1749.7345814787332</c:v>
                </c:pt>
                <c:pt idx="19">
                  <c:v>1100.8692015508277</c:v>
                </c:pt>
                <c:pt idx="20">
                  <c:v>1353.5267492822786</c:v>
                </c:pt>
                <c:pt idx="21">
                  <c:v>-566.03078935424492</c:v>
                </c:pt>
                <c:pt idx="22">
                  <c:v>3135.3943664408725</c:v>
                </c:pt>
                <c:pt idx="23">
                  <c:v>3179.6929765591303</c:v>
                </c:pt>
                <c:pt idx="24">
                  <c:v>-2812.8301892110612</c:v>
                </c:pt>
                <c:pt idx="25">
                  <c:v>-1168.449673814368</c:v>
                </c:pt>
                <c:pt idx="26">
                  <c:v>1790.4879670180235</c:v>
                </c:pt>
                <c:pt idx="27">
                  <c:v>992.28382681987205</c:v>
                </c:pt>
                <c:pt idx="28">
                  <c:v>-729.02497937221051</c:v>
                </c:pt>
                <c:pt idx="29">
                  <c:v>-1634.59749662779</c:v>
                </c:pt>
                <c:pt idx="30">
                  <c:v>-201.28005134517298</c:v>
                </c:pt>
                <c:pt idx="31">
                  <c:v>482.62772457822939</c:v>
                </c:pt>
                <c:pt idx="32">
                  <c:v>1373.6922521522065</c:v>
                </c:pt>
                <c:pt idx="33">
                  <c:v>-842.27143881088341</c:v>
                </c:pt>
                <c:pt idx="34">
                  <c:v>302.82302471164439</c:v>
                </c:pt>
                <c:pt idx="35">
                  <c:v>2188.0166315750903</c:v>
                </c:pt>
                <c:pt idx="36">
                  <c:v>1588.3960658081342</c:v>
                </c:pt>
                <c:pt idx="37">
                  <c:v>-1678.06459010857</c:v>
                </c:pt>
                <c:pt idx="38">
                  <c:v>-831.56432327095172</c:v>
                </c:pt>
                <c:pt idx="39">
                  <c:v>698.82297619009842</c:v>
                </c:pt>
                <c:pt idx="40">
                  <c:v>909.10773835999498</c:v>
                </c:pt>
                <c:pt idx="41">
                  <c:v>1595.6511686968734</c:v>
                </c:pt>
                <c:pt idx="42">
                  <c:v>646.0416114312975</c:v>
                </c:pt>
                <c:pt idx="43">
                  <c:v>-307.49660680080706</c:v>
                </c:pt>
                <c:pt idx="44">
                  <c:v>-1830.1118161560244</c:v>
                </c:pt>
                <c:pt idx="45">
                  <c:v>-2495.4390569789248</c:v>
                </c:pt>
                <c:pt idx="46">
                  <c:v>2545.4724971617106</c:v>
                </c:pt>
                <c:pt idx="47">
                  <c:v>3310.5224502299425</c:v>
                </c:pt>
                <c:pt idx="48">
                  <c:v>968.89264917960099</c:v>
                </c:pt>
                <c:pt idx="49">
                  <c:v>1805.2350991889507</c:v>
                </c:pt>
                <c:pt idx="50">
                  <c:v>2144.8948992227088</c:v>
                </c:pt>
                <c:pt idx="51">
                  <c:v>-1649.8995752508927</c:v>
                </c:pt>
                <c:pt idx="52">
                  <c:v>286.29994423053722</c:v>
                </c:pt>
                <c:pt idx="53">
                  <c:v>1767.3686528099242</c:v>
                </c:pt>
                <c:pt idx="54">
                  <c:v>-308.48568157744739</c:v>
                </c:pt>
                <c:pt idx="55">
                  <c:v>-615.85696225868014</c:v>
                </c:pt>
                <c:pt idx="56">
                  <c:v>-2445.7915362623426</c:v>
                </c:pt>
                <c:pt idx="57">
                  <c:v>416.15414484082066</c:v>
                </c:pt>
                <c:pt idx="58">
                  <c:v>1340.8859783096304</c:v>
                </c:pt>
                <c:pt idx="59">
                  <c:v>-255.65735201288044</c:v>
                </c:pt>
                <c:pt idx="60">
                  <c:v>950.67463822347781</c:v>
                </c:pt>
                <c:pt idx="61">
                  <c:v>1704.6656190095746</c:v>
                </c:pt>
                <c:pt idx="62">
                  <c:v>-480.60435348559258</c:v>
                </c:pt>
                <c:pt idx="63">
                  <c:v>291.81880001986428</c:v>
                </c:pt>
                <c:pt idx="64">
                  <c:v>222.38739792295019</c:v>
                </c:pt>
                <c:pt idx="65">
                  <c:v>-357.21321801412341</c:v>
                </c:pt>
                <c:pt idx="66">
                  <c:v>-533.60049376878669</c:v>
                </c:pt>
                <c:pt idx="67">
                  <c:v>490.00818505720235</c:v>
                </c:pt>
                <c:pt idx="68">
                  <c:v>2569.0883951837277</c:v>
                </c:pt>
                <c:pt idx="69">
                  <c:v>3852.6217818272235</c:v>
                </c:pt>
                <c:pt idx="70">
                  <c:v>1150.227520032091</c:v>
                </c:pt>
                <c:pt idx="71">
                  <c:v>-1815.3959037891073</c:v>
                </c:pt>
                <c:pt idx="72">
                  <c:v>369.55075341685006</c:v>
                </c:pt>
                <c:pt idx="73">
                  <c:v>2197.438867050314</c:v>
                </c:pt>
                <c:pt idx="74">
                  <c:v>-379.25716535100582</c:v>
                </c:pt>
                <c:pt idx="75">
                  <c:v>-490.65923795206618</c:v>
                </c:pt>
                <c:pt idx="76">
                  <c:v>2796.0134610274836</c:v>
                </c:pt>
                <c:pt idx="77">
                  <c:v>-312.51931272034926</c:v>
                </c:pt>
                <c:pt idx="78">
                  <c:v>36.429675356732332</c:v>
                </c:pt>
                <c:pt idx="79">
                  <c:v>1081.9886863921602</c:v>
                </c:pt>
                <c:pt idx="80">
                  <c:v>1741.9302787835295</c:v>
                </c:pt>
                <c:pt idx="81">
                  <c:v>566.7654721597828</c:v>
                </c:pt>
                <c:pt idx="82">
                  <c:v>3542.530964531561</c:v>
                </c:pt>
                <c:pt idx="83">
                  <c:v>594.21742722336421</c:v>
                </c:pt>
                <c:pt idx="84">
                  <c:v>529.1203301167443</c:v>
                </c:pt>
                <c:pt idx="85">
                  <c:v>275.28022258424244</c:v>
                </c:pt>
                <c:pt idx="86">
                  <c:v>-41.818637799020507</c:v>
                </c:pt>
                <c:pt idx="87">
                  <c:v>1376.1905545353002</c:v>
                </c:pt>
                <c:pt idx="88">
                  <c:v>626.02828732938724</c:v>
                </c:pt>
                <c:pt idx="89">
                  <c:v>1215.057990669844</c:v>
                </c:pt>
                <c:pt idx="90">
                  <c:v>767.62778068508487</c:v>
                </c:pt>
                <c:pt idx="91">
                  <c:v>672.16752527518474</c:v>
                </c:pt>
                <c:pt idx="92">
                  <c:v>83.944455470838875</c:v>
                </c:pt>
                <c:pt idx="93">
                  <c:v>80.867987875248218</c:v>
                </c:pt>
                <c:pt idx="94">
                  <c:v>744.48946328681268</c:v>
                </c:pt>
                <c:pt idx="95">
                  <c:v>1305.0422767041891</c:v>
                </c:pt>
                <c:pt idx="96">
                  <c:v>0</c:v>
                </c:pt>
                <c:pt idx="97">
                  <c:v>0</c:v>
                </c:pt>
              </c:numCache>
            </c:numRef>
          </c:yVal>
          <c:smooth val="0"/>
          <c:extLst>
            <c:ext xmlns:c16="http://schemas.microsoft.com/office/drawing/2014/chart" uri="{C3380CC4-5D6E-409C-BE32-E72D297353CC}">
              <c16:uniqueId val="{00000000-5206-4CB8-87F3-3C72A18CE459}"/>
            </c:ext>
          </c:extLst>
        </c:ser>
        <c:dLbls>
          <c:showLegendKey val="0"/>
          <c:showVal val="0"/>
          <c:showCatName val="0"/>
          <c:showSerName val="0"/>
          <c:showPercent val="0"/>
          <c:showBubbleSize val="0"/>
        </c:dLbls>
        <c:axId val="40072704"/>
        <c:axId val="40074240"/>
      </c:scatterChart>
      <c:valAx>
        <c:axId val="40072704"/>
        <c:scaling>
          <c:orientation val="minMax"/>
        </c:scaling>
        <c:delete val="0"/>
        <c:axPos val="b"/>
        <c:majorTickMark val="out"/>
        <c:minorTickMark val="none"/>
        <c:tickLblPos val="nextTo"/>
        <c:crossAx val="40074240"/>
        <c:crosses val="autoZero"/>
        <c:crossBetween val="midCat"/>
      </c:valAx>
      <c:valAx>
        <c:axId val="40074240"/>
        <c:scaling>
          <c:orientation val="minMax"/>
        </c:scaling>
        <c:delete val="0"/>
        <c:axPos val="l"/>
        <c:majorGridlines/>
        <c:numFmt formatCode="0" sourceLinked="1"/>
        <c:majorTickMark val="out"/>
        <c:minorTickMark val="none"/>
        <c:tickLblPos val="nextTo"/>
        <c:crossAx val="40072704"/>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yVal>
            <c:numRef>
              <c:f>calc!$H$191:$H$267</c:f>
              <c:numCache>
                <c:formatCode>0</c:formatCode>
                <c:ptCount val="77"/>
                <c:pt idx="0">
                  <c:v>21024.973173824877</c:v>
                </c:pt>
                <c:pt idx="1">
                  <c:v>3723.8434779623126</c:v>
                </c:pt>
                <c:pt idx="2">
                  <c:v>12733.640797369191</c:v>
                </c:pt>
                <c:pt idx="3">
                  <c:v>10484.085134031975</c:v>
                </c:pt>
                <c:pt idx="4">
                  <c:v>18384.291620346103</c:v>
                </c:pt>
                <c:pt idx="5">
                  <c:v>18441.072401630485</c:v>
                </c:pt>
                <c:pt idx="6">
                  <c:v>12282.461361725007</c:v>
                </c:pt>
                <c:pt idx="7">
                  <c:v>6746.5810091720978</c:v>
                </c:pt>
                <c:pt idx="8">
                  <c:v>11158.567587453748</c:v>
                </c:pt>
                <c:pt idx="9">
                  <c:v>4953.8414659788659</c:v>
                </c:pt>
                <c:pt idx="10">
                  <c:v>20202.947541572637</c:v>
                </c:pt>
                <c:pt idx="11">
                  <c:v>4823.6340916204954</c:v>
                </c:pt>
                <c:pt idx="12">
                  <c:v>9726.6737948634382</c:v>
                </c:pt>
                <c:pt idx="13">
                  <c:v>10305.117336562214</c:v>
                </c:pt>
                <c:pt idx="14">
                  <c:v>18555.628428578591</c:v>
                </c:pt>
                <c:pt idx="15">
                  <c:v>10346.532036348393</c:v>
                </c:pt>
                <c:pt idx="16">
                  <c:v>13045.575918974539</c:v>
                </c:pt>
                <c:pt idx="17">
                  <c:v>22967.301971983576</c:v>
                </c:pt>
                <c:pt idx="18">
                  <c:v>804.17365388064434</c:v>
                </c:pt>
                <c:pt idx="19">
                  <c:v>13612.206166825094</c:v>
                </c:pt>
                <c:pt idx="20">
                  <c:v>23902.492409571358</c:v>
                </c:pt>
                <c:pt idx="21">
                  <c:v>6334.9605340702519</c:v>
                </c:pt>
                <c:pt idx="22">
                  <c:v>8064.8617291640112</c:v>
                </c:pt>
                <c:pt idx="23">
                  <c:v>8649.64044545041</c:v>
                </c:pt>
                <c:pt idx="24">
                  <c:v>14320.600966333897</c:v>
                </c:pt>
                <c:pt idx="25">
                  <c:v>13922.329719435447</c:v>
                </c:pt>
                <c:pt idx="26">
                  <c:v>24043.132320754059</c:v>
                </c:pt>
                <c:pt idx="27">
                  <c:v>12585.393048479847</c:v>
                </c:pt>
                <c:pt idx="28">
                  <c:v>2620.2922510082508</c:v>
                </c:pt>
                <c:pt idx="29">
                  <c:v>10912.338360908587</c:v>
                </c:pt>
                <c:pt idx="30">
                  <c:v>15314.843287495629</c:v>
                </c:pt>
                <c:pt idx="31">
                  <c:v>8719.3972244285087</c:v>
                </c:pt>
                <c:pt idx="32">
                  <c:v>7512.094422801134</c:v>
                </c:pt>
                <c:pt idx="33">
                  <c:v>14496.498281194488</c:v>
                </c:pt>
                <c:pt idx="34">
                  <c:v>13578.719470898775</c:v>
                </c:pt>
                <c:pt idx="35">
                  <c:v>7032.9220925554655</c:v>
                </c:pt>
                <c:pt idx="36">
                  <c:v>11732.676789144854</c:v>
                </c:pt>
                <c:pt idx="37">
                  <c:v>19609.464279568052</c:v>
                </c:pt>
                <c:pt idx="38">
                  <c:v>18059.863442440994</c:v>
                </c:pt>
                <c:pt idx="39">
                  <c:v>7724.4768592623213</c:v>
                </c:pt>
                <c:pt idx="40">
                  <c:v>5989.4244675495484</c:v>
                </c:pt>
                <c:pt idx="41">
                  <c:v>11657.2848326288</c:v>
                </c:pt>
                <c:pt idx="42">
                  <c:v>16774.840974396709</c:v>
                </c:pt>
                <c:pt idx="43">
                  <c:v>15035.205984369606</c:v>
                </c:pt>
                <c:pt idx="44">
                  <c:v>10898.576697295623</c:v>
                </c:pt>
                <c:pt idx="45">
                  <c:v>11144.591999343316</c:v>
                </c:pt>
                <c:pt idx="46">
                  <c:v>14146.154281046613</c:v>
                </c:pt>
                <c:pt idx="47">
                  <c:v>13806.569463730242</c:v>
                </c:pt>
                <c:pt idx="48">
                  <c:v>19159.000647230994</c:v>
                </c:pt>
                <c:pt idx="49">
                  <c:v>11085.47755535376</c:v>
                </c:pt>
                <c:pt idx="50">
                  <c:v>6161.8302405804452</c:v>
                </c:pt>
                <c:pt idx="51">
                  <c:v>7663.5967868011976</c:v>
                </c:pt>
                <c:pt idx="52">
                  <c:v>12979.452122119206</c:v>
                </c:pt>
                <c:pt idx="53">
                  <c:v>9303.3148777184306</c:v>
                </c:pt>
                <c:pt idx="54">
                  <c:v>7350.901998694987</c:v>
                </c:pt>
                <c:pt idx="55">
                  <c:v>12675.269916612826</c:v>
                </c:pt>
                <c:pt idx="56">
                  <c:v>12270.728139120984</c:v>
                </c:pt>
                <c:pt idx="57">
                  <c:v>19358.829617981755</c:v>
                </c:pt>
                <c:pt idx="58">
                  <c:v>11142.041424622679</c:v>
                </c:pt>
                <c:pt idx="59">
                  <c:v>6640.7072570074706</c:v>
                </c:pt>
                <c:pt idx="60">
                  <c:v>5830.2521658768192</c:v>
                </c:pt>
                <c:pt idx="61">
                  <c:v>10641.402361450037</c:v>
                </c:pt>
                <c:pt idx="62">
                  <c:v>5610.048921876928</c:v>
                </c:pt>
                <c:pt idx="63">
                  <c:v>14354.211293318956</c:v>
                </c:pt>
                <c:pt idx="64">
                  <c:v>14281.215957684999</c:v>
                </c:pt>
                <c:pt idx="65">
                  <c:v>5667.966466494353</c:v>
                </c:pt>
                <c:pt idx="66">
                  <c:v>-2202.1618603863531</c:v>
                </c:pt>
                <c:pt idx="67">
                  <c:v>11900.808720922118</c:v>
                </c:pt>
                <c:pt idx="68">
                  <c:v>13901.504311466055</c:v>
                </c:pt>
                <c:pt idx="69">
                  <c:v>14682.021536998858</c:v>
                </c:pt>
                <c:pt idx="70">
                  <c:v>8630.9025851798251</c:v>
                </c:pt>
                <c:pt idx="71">
                  <c:v>10586.924748963076</c:v>
                </c:pt>
                <c:pt idx="72">
                  <c:v>26302.752455178263</c:v>
                </c:pt>
                <c:pt idx="73">
                  <c:v>10789.344917675562</c:v>
                </c:pt>
                <c:pt idx="74">
                  <c:v>14111.813369842344</c:v>
                </c:pt>
                <c:pt idx="75">
                  <c:v>8325.9438174809511</c:v>
                </c:pt>
                <c:pt idx="76">
                  <c:v>7009.4653231411539</c:v>
                </c:pt>
              </c:numCache>
            </c:numRef>
          </c:yVal>
          <c:smooth val="0"/>
          <c:extLst>
            <c:ext xmlns:c16="http://schemas.microsoft.com/office/drawing/2014/chart" uri="{C3380CC4-5D6E-409C-BE32-E72D297353CC}">
              <c16:uniqueId val="{00000000-70BB-4943-91B5-97135901408D}"/>
            </c:ext>
          </c:extLst>
        </c:ser>
        <c:ser>
          <c:idx val="1"/>
          <c:order val="1"/>
          <c:spPr>
            <a:ln w="25400" cap="rnd">
              <a:noFill/>
              <a:round/>
            </a:ln>
            <a:effectLst/>
          </c:spPr>
          <c:marker>
            <c:symbol val="circle"/>
            <c:size val="5"/>
            <c:spPr>
              <a:solidFill>
                <a:schemeClr val="accent2"/>
              </a:solidFill>
              <a:ln w="9525">
                <a:solidFill>
                  <a:schemeClr val="accent2"/>
                </a:solidFill>
              </a:ln>
              <a:effectLst/>
            </c:spPr>
          </c:marker>
          <c:yVal>
            <c:numRef>
              <c:f>calc!$F$191:$F$267</c:f>
              <c:numCache>
                <c:formatCode>0</c:formatCode>
                <c:ptCount val="77"/>
                <c:pt idx="0">
                  <c:v>12199.991539147713</c:v>
                </c:pt>
                <c:pt idx="1">
                  <c:v>19833.749274645445</c:v>
                </c:pt>
                <c:pt idx="2">
                  <c:v>7640.8367367581814</c:v>
                </c:pt>
                <c:pt idx="3">
                  <c:v>10325.020667509641</c:v>
                </c:pt>
                <c:pt idx="4">
                  <c:v>5995.7521211596259</c:v>
                </c:pt>
                <c:pt idx="5">
                  <c:v>10822.963749765086</c:v>
                </c:pt>
                <c:pt idx="6">
                  <c:v>7539.8374826994341</c:v>
                </c:pt>
                <c:pt idx="7">
                  <c:v>15815.126680424324</c:v>
                </c:pt>
                <c:pt idx="8">
                  <c:v>15999.241756513391</c:v>
                </c:pt>
                <c:pt idx="9">
                  <c:v>15050.043081459422</c:v>
                </c:pt>
                <c:pt idx="10">
                  <c:v>16544.764817224175</c:v>
                </c:pt>
                <c:pt idx="11">
                  <c:v>6224.1492009432841</c:v>
                </c:pt>
                <c:pt idx="12">
                  <c:v>10053.225033176084</c:v>
                </c:pt>
                <c:pt idx="13">
                  <c:v>10350.065296955967</c:v>
                </c:pt>
                <c:pt idx="14">
                  <c:v>18349.744595790315</c:v>
                </c:pt>
                <c:pt idx="15">
                  <c:v>11991.28040739071</c:v>
                </c:pt>
                <c:pt idx="16">
                  <c:v>9404.9801622094019</c:v>
                </c:pt>
                <c:pt idx="17">
                  <c:v>10287.53223692869</c:v>
                </c:pt>
                <c:pt idx="18">
                  <c:v>11854.892267409985</c:v>
                </c:pt>
                <c:pt idx="19">
                  <c:v>6101.6593083615435</c:v>
                </c:pt>
                <c:pt idx="20">
                  <c:v>4553.0000062631261</c:v>
                </c:pt>
                <c:pt idx="21">
                  <c:v>2423.6371088155265</c:v>
                </c:pt>
                <c:pt idx="22">
                  <c:v>25069.703540229191</c:v>
                </c:pt>
                <c:pt idx="23">
                  <c:v>4101.7937734687494</c:v>
                </c:pt>
                <c:pt idx="24">
                  <c:v>24571.740934612622</c:v>
                </c:pt>
                <c:pt idx="25">
                  <c:v>3818.338492489454</c:v>
                </c:pt>
                <c:pt idx="26">
                  <c:v>-530.86437881421045</c:v>
                </c:pt>
                <c:pt idx="27">
                  <c:v>10051.306864995177</c:v>
                </c:pt>
                <c:pt idx="28">
                  <c:v>18229.13694616716</c:v>
                </c:pt>
                <c:pt idx="29">
                  <c:v>8718.0608410403656</c:v>
                </c:pt>
                <c:pt idx="30">
                  <c:v>13041.984120296289</c:v>
                </c:pt>
                <c:pt idx="31">
                  <c:v>5859.289256659582</c:v>
                </c:pt>
                <c:pt idx="32">
                  <c:v>17482.273194400746</c:v>
                </c:pt>
                <c:pt idx="33">
                  <c:v>12504.766982734665</c:v>
                </c:pt>
                <c:pt idx="34">
                  <c:v>15348.266680062203</c:v>
                </c:pt>
                <c:pt idx="35">
                  <c:v>9409.1679475774035</c:v>
                </c:pt>
                <c:pt idx="36">
                  <c:v>15408.159334247783</c:v>
                </c:pt>
                <c:pt idx="37">
                  <c:v>3209.2839339794564</c:v>
                </c:pt>
                <c:pt idx="38">
                  <c:v>1827.0808284692621</c:v>
                </c:pt>
                <c:pt idx="39">
                  <c:v>1560.1935646931088</c:v>
                </c:pt>
                <c:pt idx="40">
                  <c:v>13587.018418342886</c:v>
                </c:pt>
                <c:pt idx="41">
                  <c:v>17452.183000563167</c:v>
                </c:pt>
                <c:pt idx="42">
                  <c:v>12514.686542684103</c:v>
                </c:pt>
                <c:pt idx="43">
                  <c:v>10318.73269216165</c:v>
                </c:pt>
                <c:pt idx="44">
                  <c:v>11186.761580855638</c:v>
                </c:pt>
                <c:pt idx="45">
                  <c:v>3502.891966938786</c:v>
                </c:pt>
                <c:pt idx="46">
                  <c:v>2406.9499792328329</c:v>
                </c:pt>
                <c:pt idx="47">
                  <c:v>20996.019426214061</c:v>
                </c:pt>
                <c:pt idx="48">
                  <c:v>13065.494715301329</c:v>
                </c:pt>
                <c:pt idx="49">
                  <c:v>9218.1292375695739</c:v>
                </c:pt>
                <c:pt idx="50">
                  <c:v>8404.3715441486111</c:v>
                </c:pt>
                <c:pt idx="51">
                  <c:v>8518.3536385964635</c:v>
                </c:pt>
                <c:pt idx="52">
                  <c:v>13458.120749850505</c:v>
                </c:pt>
                <c:pt idx="53">
                  <c:v>13513.776496320921</c:v>
                </c:pt>
                <c:pt idx="54">
                  <c:v>5207.9329966847163</c:v>
                </c:pt>
                <c:pt idx="55">
                  <c:v>19575.404992310607</c:v>
                </c:pt>
                <c:pt idx="56">
                  <c:v>6175.0924715029496</c:v>
                </c:pt>
                <c:pt idx="57">
                  <c:v>4316.2111635667188</c:v>
                </c:pt>
                <c:pt idx="58">
                  <c:v>11598.338050428481</c:v>
                </c:pt>
                <c:pt idx="59">
                  <c:v>7805.8077225463921</c:v>
                </c:pt>
                <c:pt idx="60">
                  <c:v>8762.4497547049632</c:v>
                </c:pt>
                <c:pt idx="61">
                  <c:v>14479.763865367444</c:v>
                </c:pt>
                <c:pt idx="62">
                  <c:v>4139.242211767466</c:v>
                </c:pt>
                <c:pt idx="63">
                  <c:v>14781.928971214267</c:v>
                </c:pt>
                <c:pt idx="64">
                  <c:v>9028.9354603905613</c:v>
                </c:pt>
                <c:pt idx="65">
                  <c:v>20220.820168207527</c:v>
                </c:pt>
                <c:pt idx="66">
                  <c:v>9833.6466274853665</c:v>
                </c:pt>
                <c:pt idx="67">
                  <c:v>11386.538227532956</c:v>
                </c:pt>
                <c:pt idx="68">
                  <c:v>8659.8538748888404</c:v>
                </c:pt>
                <c:pt idx="69">
                  <c:v>8965.8860812344719</c:v>
                </c:pt>
                <c:pt idx="70">
                  <c:v>15691.637445696264</c:v>
                </c:pt>
                <c:pt idx="71">
                  <c:v>14019.805931515362</c:v>
                </c:pt>
                <c:pt idx="72">
                  <c:v>16632.539076577945</c:v>
                </c:pt>
                <c:pt idx="73">
                  <c:v>13865.108799087437</c:v>
                </c:pt>
                <c:pt idx="74">
                  <c:v>11795.196575229102</c:v>
                </c:pt>
                <c:pt idx="75">
                  <c:v>19521.637763079751</c:v>
                </c:pt>
                <c:pt idx="76">
                  <c:v>4990.5416614773967</c:v>
                </c:pt>
              </c:numCache>
            </c:numRef>
          </c:yVal>
          <c:smooth val="0"/>
          <c:extLst>
            <c:ext xmlns:c16="http://schemas.microsoft.com/office/drawing/2014/chart" uri="{C3380CC4-5D6E-409C-BE32-E72D297353CC}">
              <c16:uniqueId val="{00000001-70BB-4943-91B5-97135901408D}"/>
            </c:ext>
          </c:extLst>
        </c:ser>
        <c:dLbls>
          <c:showLegendKey val="0"/>
          <c:showVal val="0"/>
          <c:showCatName val="0"/>
          <c:showSerName val="0"/>
          <c:showPercent val="0"/>
          <c:showBubbleSize val="0"/>
        </c:dLbls>
        <c:axId val="1665099583"/>
        <c:axId val="1665085855"/>
      </c:scatterChart>
      <c:valAx>
        <c:axId val="1665099583"/>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665085855"/>
        <c:crosses val="autoZero"/>
        <c:crossBetween val="midCat"/>
      </c:valAx>
      <c:valAx>
        <c:axId val="16650858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66509958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0"/>
            <c:dispEq val="0"/>
          </c:trendline>
          <c:xVal>
            <c:numRef>
              <c:f>calc!$L$314:$R$314</c:f>
              <c:numCache>
                <c:formatCode>General</c:formatCode>
                <c:ptCount val="7"/>
                <c:pt idx="0">
                  <c:v>9.9269999999999996</c:v>
                </c:pt>
                <c:pt idx="1">
                  <c:v>10.0129</c:v>
                </c:pt>
                <c:pt idx="2">
                  <c:v>10.11</c:v>
                </c:pt>
                <c:pt idx="3">
                  <c:v>10.79</c:v>
                </c:pt>
                <c:pt idx="4">
                  <c:v>11.0123</c:v>
                </c:pt>
                <c:pt idx="5">
                  <c:v>11.0123</c:v>
                </c:pt>
                <c:pt idx="6">
                  <c:v>10.9</c:v>
                </c:pt>
              </c:numCache>
            </c:numRef>
          </c:xVal>
          <c:yVal>
            <c:numRef>
              <c:f>calc!$L$313:$R$313</c:f>
              <c:numCache>
                <c:formatCode>0</c:formatCode>
                <c:ptCount val="7"/>
                <c:pt idx="0">
                  <c:v>0</c:v>
                </c:pt>
                <c:pt idx="1">
                  <c:v>757.42360990986253</c:v>
                </c:pt>
                <c:pt idx="2">
                  <c:v>0</c:v>
                </c:pt>
                <c:pt idx="3">
                  <c:v>362.14790744579545</c:v>
                </c:pt>
                <c:pt idx="4">
                  <c:v>519.05101252432428</c:v>
                </c:pt>
                <c:pt idx="5">
                  <c:v>454.30565566047346</c:v>
                </c:pt>
                <c:pt idx="6" formatCode="0.0">
                  <c:v>675.95411760285288</c:v>
                </c:pt>
              </c:numCache>
            </c:numRef>
          </c:yVal>
          <c:smooth val="0"/>
          <c:extLst>
            <c:ext xmlns:c16="http://schemas.microsoft.com/office/drawing/2014/chart" uri="{C3380CC4-5D6E-409C-BE32-E72D297353CC}">
              <c16:uniqueId val="{00000000-CD71-415B-B823-D922CEC401D7}"/>
            </c:ext>
          </c:extLst>
        </c:ser>
        <c:dLbls>
          <c:showLegendKey val="0"/>
          <c:showVal val="0"/>
          <c:showCatName val="0"/>
          <c:showSerName val="0"/>
          <c:showPercent val="0"/>
          <c:showBubbleSize val="0"/>
        </c:dLbls>
        <c:axId val="853234320"/>
        <c:axId val="853240976"/>
      </c:scatterChart>
      <c:valAx>
        <c:axId val="85323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53240976"/>
        <c:crosses val="autoZero"/>
        <c:crossBetween val="midCat"/>
      </c:valAx>
      <c:valAx>
        <c:axId val="8532409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53234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tx>
            <c:strRef>
              <c:f>calc!$V$183:$V$184</c:f>
              <c:strCache>
                <c:ptCount val="2"/>
              </c:strCache>
            </c:strRef>
          </c:tx>
          <c:spPr>
            <a:ln w="28575" cap="rnd">
              <a:noFill/>
              <a:round/>
            </a:ln>
            <a:effectLst/>
          </c:spPr>
          <c:marker>
            <c:symbol val="circle"/>
            <c:size val="5"/>
            <c:spPr>
              <a:solidFill>
                <a:schemeClr val="accent1"/>
              </a:solidFill>
              <a:ln w="9525">
                <a:solidFill>
                  <a:schemeClr val="accent1"/>
                </a:solidFill>
              </a:ln>
              <a:effectLst/>
            </c:spPr>
          </c:marker>
          <c:xVal>
            <c:numRef>
              <c:f>calc!$U$185:$U$295</c:f>
              <c:numCache>
                <c:formatCode>0</c:formatCode>
                <c:ptCount val="111"/>
                <c:pt idx="9">
                  <c:v>-1676.5527852695413</c:v>
                </c:pt>
                <c:pt idx="10">
                  <c:v>-2604.9471802062762</c:v>
                </c:pt>
                <c:pt idx="11">
                  <c:v>668.17767288195682</c:v>
                </c:pt>
                <c:pt idx="12">
                  <c:v>2393.6036751313914</c:v>
                </c:pt>
                <c:pt idx="13">
                  <c:v>4897.0055413847203</c:v>
                </c:pt>
                <c:pt idx="14">
                  <c:v>5140.2182536513374</c:v>
                </c:pt>
                <c:pt idx="15">
                  <c:v>1881.8540684613017</c:v>
                </c:pt>
                <c:pt idx="16">
                  <c:v>216.24805236685825</c:v>
                </c:pt>
                <c:pt idx="17">
                  <c:v>-1848.6517877225469</c:v>
                </c:pt>
                <c:pt idx="18">
                  <c:v>2193.2133438931305</c:v>
                </c:pt>
                <c:pt idx="19">
                  <c:v>2839.2318019646718</c:v>
                </c:pt>
                <c:pt idx="20">
                  <c:v>2524.2034237158168</c:v>
                </c:pt>
                <c:pt idx="21">
                  <c:v>-163.20069590472485</c:v>
                </c:pt>
                <c:pt idx="22">
                  <c:v>-208.66340923163261</c:v>
                </c:pt>
                <c:pt idx="23">
                  <c:v>-1309.7703605142506</c:v>
                </c:pt>
                <c:pt idx="24">
                  <c:v>-3221.2811040694396</c:v>
                </c:pt>
                <c:pt idx="25">
                  <c:v>-6365.0328236009254</c:v>
                </c:pt>
                <c:pt idx="26">
                  <c:v>-42.351412978376175</c:v>
                </c:pt>
                <c:pt idx="27">
                  <c:v>-192.75349057650237</c:v>
                </c:pt>
                <c:pt idx="28">
                  <c:v>7189.9477846891969</c:v>
                </c:pt>
                <c:pt idx="29">
                  <c:v>106.15943544261791</c:v>
                </c:pt>
                <c:pt idx="30">
                  <c:v>-1438.059948651704</c:v>
                </c:pt>
                <c:pt idx="31">
                  <c:v>-6278.2046385241847</c:v>
                </c:pt>
                <c:pt idx="32">
                  <c:v>-1474.6051539649507</c:v>
                </c:pt>
                <c:pt idx="33">
                  <c:v>1608.36991931991</c:v>
                </c:pt>
                <c:pt idx="34">
                  <c:v>2605.2623377536129</c:v>
                </c:pt>
                <c:pt idx="35">
                  <c:v>-1518.0202254155793</c:v>
                </c:pt>
                <c:pt idx="36">
                  <c:v>1403.3838923712137</c:v>
                </c:pt>
                <c:pt idx="37">
                  <c:v>1224.3115131840059</c:v>
                </c:pt>
                <c:pt idx="38">
                  <c:v>4387.3039876515486</c:v>
                </c:pt>
                <c:pt idx="39">
                  <c:v>1696.2689053770991</c:v>
                </c:pt>
                <c:pt idx="40">
                  <c:v>2664.0663558814722</c:v>
                </c:pt>
                <c:pt idx="41">
                  <c:v>-1382.2612261461109</c:v>
                </c:pt>
                <c:pt idx="42">
                  <c:v>-3909.6235991821586</c:v>
                </c:pt>
                <c:pt idx="43">
                  <c:v>-8525.6121890337163</c:v>
                </c:pt>
                <c:pt idx="44">
                  <c:v>-5066.3673609125726</c:v>
                </c:pt>
                <c:pt idx="45">
                  <c:v>142.00002978539669</c:v>
                </c:pt>
                <c:pt idx="46">
                  <c:v>3793.4976891157257</c:v>
                </c:pt>
                <c:pt idx="47">
                  <c:v>2704.0691137219819</c:v>
                </c:pt>
                <c:pt idx="48">
                  <c:v>615.5953071528038</c:v>
                </c:pt>
                <c:pt idx="49">
                  <c:v>-2388.3362180956337</c:v>
                </c:pt>
                <c:pt idx="50">
                  <c:v>-5025.59712240524</c:v>
                </c:pt>
                <c:pt idx="51">
                  <c:v>-1755.8445072857648</c:v>
                </c:pt>
                <c:pt idx="52">
                  <c:v>1431.6897421684153</c:v>
                </c:pt>
                <c:pt idx="53">
                  <c:v>3702.0828282806651</c:v>
                </c:pt>
                <c:pt idx="54">
                  <c:v>-495.13313240781827</c:v>
                </c:pt>
                <c:pt idx="55">
                  <c:v>-2010.8468246427765</c:v>
                </c:pt>
                <c:pt idx="56">
                  <c:v>-597.51632054913171</c:v>
                </c:pt>
                <c:pt idx="57">
                  <c:v>1105.618663508305</c:v>
                </c:pt>
                <c:pt idx="58">
                  <c:v>2.1451162043904333</c:v>
                </c:pt>
                <c:pt idx="59">
                  <c:v>2041.2398636910893</c:v>
                </c:pt>
                <c:pt idx="60">
                  <c:v>-404.98814458156812</c:v>
                </c:pt>
                <c:pt idx="61">
                  <c:v>-702.22875562089939</c:v>
                </c:pt>
                <c:pt idx="62">
                  <c:v>-3361.2510695816081</c:v>
                </c:pt>
                <c:pt idx="63">
                  <c:v>-2817.6793192337936</c:v>
                </c:pt>
                <c:pt idx="64">
                  <c:v>-1335.5997888543807</c:v>
                </c:pt>
                <c:pt idx="65">
                  <c:v>-375.12451720805802</c:v>
                </c:pt>
                <c:pt idx="66">
                  <c:v>-1597.3130208010352</c:v>
                </c:pt>
                <c:pt idx="67">
                  <c:v>409.18005136873217</c:v>
                </c:pt>
                <c:pt idx="68">
                  <c:v>-1407.7627502902269</c:v>
                </c:pt>
                <c:pt idx="69">
                  <c:v>3952.7632351897955</c:v>
                </c:pt>
                <c:pt idx="70">
                  <c:v>2303.3357872801607</c:v>
                </c:pt>
                <c:pt idx="71">
                  <c:v>3089.2033763276249</c:v>
                </c:pt>
                <c:pt idx="72">
                  <c:v>-764.45205477860509</c:v>
                </c:pt>
                <c:pt idx="73">
                  <c:v>-1053.7055701955687</c:v>
                </c:pt>
                <c:pt idx="74">
                  <c:v>381.32750252553342</c:v>
                </c:pt>
                <c:pt idx="75">
                  <c:v>2167.9781880677074</c:v>
                </c:pt>
                <c:pt idx="76">
                  <c:v>4723.5291865155323</c:v>
                </c:pt>
                <c:pt idx="77">
                  <c:v>4114.6863043125904</c:v>
                </c:pt>
                <c:pt idx="78">
                  <c:v>3373.1498522171696</c:v>
                </c:pt>
                <c:pt idx="79">
                  <c:v>4336.1827477177703</c:v>
                </c:pt>
                <c:pt idx="80">
                  <c:v>1377.9937018477594</c:v>
                </c:pt>
                <c:pt idx="81">
                  <c:v>3436.7467945319404</c:v>
                </c:pt>
                <c:pt idx="82">
                  <c:v>3055.911190157638</c:v>
                </c:pt>
                <c:pt idx="83">
                  <c:v>5534.8089431958178</c:v>
                </c:pt>
                <c:pt idx="84">
                  <c:v>2635.2939518129806</c:v>
                </c:pt>
                <c:pt idx="85">
                  <c:v>-2406.1414382554904</c:v>
                </c:pt>
                <c:pt idx="86">
                  <c:v>-6836.9679322659376</c:v>
                </c:pt>
                <c:pt idx="87">
                  <c:v>-5650.9797360206176</c:v>
                </c:pt>
                <c:pt idx="88">
                  <c:v>-610.44825336609574</c:v>
                </c:pt>
                <c:pt idx="89">
                  <c:v>6140.2042117781712</c:v>
                </c:pt>
                <c:pt idx="90">
                  <c:v>5305.7703395447134</c:v>
                </c:pt>
                <c:pt idx="91">
                  <c:v>721.11723226291178</c:v>
                </c:pt>
                <c:pt idx="92">
                  <c:v>-409.23932112103466</c:v>
                </c:pt>
                <c:pt idx="93">
                  <c:v>241.34589609317845</c:v>
                </c:pt>
                <c:pt idx="94">
                  <c:v>1076.7820229742192</c:v>
                </c:pt>
                <c:pt idx="95">
                  <c:v>-1038.7434820211656</c:v>
                </c:pt>
                <c:pt idx="96">
                  <c:v>-382.6601999074137</c:v>
                </c:pt>
                <c:pt idx="97">
                  <c:v>2155.2905368242191</c:v>
                </c:pt>
                <c:pt idx="98">
                  <c:v>1023.5100176666838</c:v>
                </c:pt>
                <c:pt idx="99">
                  <c:v>-168.8517236959633</c:v>
                </c:pt>
                <c:pt idx="100">
                  <c:v>-1363.700459314683</c:v>
                </c:pt>
                <c:pt idx="101">
                  <c:v>1673.3568132231248</c:v>
                </c:pt>
                <c:pt idx="102">
                  <c:v>555.85804898275273</c:v>
                </c:pt>
                <c:pt idx="103">
                  <c:v>-372.61967480551175</c:v>
                </c:pt>
                <c:pt idx="104">
                  <c:v>-1321.7924755338099</c:v>
                </c:pt>
                <c:pt idx="105">
                  <c:v>2873.6794163572176</c:v>
                </c:pt>
                <c:pt idx="106">
                  <c:v>4007.3619840127376</c:v>
                </c:pt>
                <c:pt idx="107">
                  <c:v>1862.0848889939407</c:v>
                </c:pt>
                <c:pt idx="108">
                  <c:v>-1082.4968589548134</c:v>
                </c:pt>
                <c:pt idx="109">
                  <c:v>-2148.357216785007</c:v>
                </c:pt>
                <c:pt idx="110">
                  <c:v>346.20329942272292</c:v>
                </c:pt>
              </c:numCache>
            </c:numRef>
          </c:xVal>
          <c:yVal>
            <c:numRef>
              <c:f>calc!$V$185:$V$295</c:f>
              <c:numCache>
                <c:formatCode>0</c:formatCode>
                <c:ptCount val="111"/>
                <c:pt idx="9">
                  <c:v>4704.5737562033355</c:v>
                </c:pt>
                <c:pt idx="10">
                  <c:v>5304.0324987676813</c:v>
                </c:pt>
                <c:pt idx="11">
                  <c:v>1424.7956283763451</c:v>
                </c:pt>
                <c:pt idx="12">
                  <c:v>-1002.7059763492325</c:v>
                </c:pt>
                <c:pt idx="13">
                  <c:v>-3445.5792749312795</c:v>
                </c:pt>
                <c:pt idx="14">
                  <c:v>1039.8762358689</c:v>
                </c:pt>
                <c:pt idx="15">
                  <c:v>-1071.7682627421855</c:v>
                </c:pt>
                <c:pt idx="16">
                  <c:v>519.175846886008</c:v>
                </c:pt>
                <c:pt idx="17">
                  <c:v>-2780.1008881174675</c:v>
                </c:pt>
                <c:pt idx="18">
                  <c:v>1797.2305575352311</c:v>
                </c:pt>
                <c:pt idx="19">
                  <c:v>2003.8499713635483</c:v>
                </c:pt>
                <c:pt idx="20">
                  <c:v>2917.3361655009903</c:v>
                </c:pt>
                <c:pt idx="21">
                  <c:v>4387.8940133026517</c:v>
                </c:pt>
                <c:pt idx="22">
                  <c:v>1207.1078858134024</c:v>
                </c:pt>
                <c:pt idx="23">
                  <c:v>1395.9846350969201</c:v>
                </c:pt>
                <c:pt idx="24">
                  <c:v>1707.7147809595135</c:v>
                </c:pt>
                <c:pt idx="25">
                  <c:v>3551.3104076893833</c:v>
                </c:pt>
                <c:pt idx="26">
                  <c:v>1702.1955951356886</c:v>
                </c:pt>
                <c:pt idx="27">
                  <c:v>-3382.0883929046258</c:v>
                </c:pt>
                <c:pt idx="28">
                  <c:v>-720.20824881674343</c:v>
                </c:pt>
                <c:pt idx="29">
                  <c:v>1232.2810812737334</c:v>
                </c:pt>
                <c:pt idx="30">
                  <c:v>6363.4450397082819</c:v>
                </c:pt>
                <c:pt idx="31">
                  <c:v>5785.0424004236029</c:v>
                </c:pt>
                <c:pt idx="32">
                  <c:v>2017.6965776145335</c:v>
                </c:pt>
                <c:pt idx="33">
                  <c:v>-2359.2347423339561</c:v>
                </c:pt>
                <c:pt idx="34">
                  <c:v>-1449.4179959953617</c:v>
                </c:pt>
                <c:pt idx="35">
                  <c:v>583.61699514472457</c:v>
                </c:pt>
                <c:pt idx="36">
                  <c:v>-549.79765089109242</c:v>
                </c:pt>
                <c:pt idx="37">
                  <c:v>-822.57931965813987</c:v>
                </c:pt>
                <c:pt idx="38">
                  <c:v>797.19476249861509</c:v>
                </c:pt>
                <c:pt idx="39">
                  <c:v>637.47065241672681</c:v>
                </c:pt>
                <c:pt idx="40">
                  <c:v>-283.80317826648388</c:v>
                </c:pt>
                <c:pt idx="41">
                  <c:v>1726.445091289941</c:v>
                </c:pt>
                <c:pt idx="42">
                  <c:v>5402.0922079184511</c:v>
                </c:pt>
                <c:pt idx="43">
                  <c:v>4066.0255646242731</c:v>
                </c:pt>
                <c:pt idx="44">
                  <c:v>-473.98770604856327</c:v>
                </c:pt>
                <c:pt idx="45">
                  <c:v>-2608.1805759859599</c:v>
                </c:pt>
                <c:pt idx="46">
                  <c:v>408.6074623921686</c:v>
                </c:pt>
                <c:pt idx="47">
                  <c:v>3423.8679679988563</c:v>
                </c:pt>
                <c:pt idx="48">
                  <c:v>3170.9652562211304</c:v>
                </c:pt>
                <c:pt idx="49">
                  <c:v>1294.2155978699975</c:v>
                </c:pt>
                <c:pt idx="50">
                  <c:v>997.86503009566695</c:v>
                </c:pt>
                <c:pt idx="51">
                  <c:v>1967.1959522405396</c:v>
                </c:pt>
                <c:pt idx="52">
                  <c:v>4638.6655015364322</c:v>
                </c:pt>
                <c:pt idx="53">
                  <c:v>3618.439926305482</c:v>
                </c:pt>
                <c:pt idx="54">
                  <c:v>1070.1935185888815</c:v>
                </c:pt>
                <c:pt idx="55">
                  <c:v>-2761.6077682210489</c:v>
                </c:pt>
                <c:pt idx="56">
                  <c:v>-2130.2829126325669</c:v>
                </c:pt>
                <c:pt idx="57">
                  <c:v>-1083.1213669199042</c:v>
                </c:pt>
                <c:pt idx="58">
                  <c:v>-1187.3529629553086</c:v>
                </c:pt>
                <c:pt idx="59">
                  <c:v>-1288.7470314574348</c:v>
                </c:pt>
                <c:pt idx="60">
                  <c:v>-299.60927765658562</c:v>
                </c:pt>
                <c:pt idx="61">
                  <c:v>3703.0332621056732</c:v>
                </c:pt>
                <c:pt idx="62">
                  <c:v>3191.9570981089564</c:v>
                </c:pt>
                <c:pt idx="63">
                  <c:v>1315.283470737786</c:v>
                </c:pt>
                <c:pt idx="64">
                  <c:v>-3194.2423466305272</c:v>
                </c:pt>
                <c:pt idx="65">
                  <c:v>-3361.1220343547411</c:v>
                </c:pt>
                <c:pt idx="66">
                  <c:v>-3704.6748127315886</c:v>
                </c:pt>
                <c:pt idx="67">
                  <c:v>-863.35510358421016</c:v>
                </c:pt>
                <c:pt idx="68">
                  <c:v>349.91609516077733</c:v>
                </c:pt>
                <c:pt idx="69">
                  <c:v>369.22194336658504</c:v>
                </c:pt>
                <c:pt idx="70">
                  <c:v>-5149.5691078685177</c:v>
                </c:pt>
                <c:pt idx="71">
                  <c:v>-5943.0381867894775</c:v>
                </c:pt>
                <c:pt idx="72">
                  <c:v>-3198.5255717989112</c:v>
                </c:pt>
                <c:pt idx="73">
                  <c:v>2429.5355606628254</c:v>
                </c:pt>
                <c:pt idx="74">
                  <c:v>1339.5668487487292</c:v>
                </c:pt>
                <c:pt idx="75">
                  <c:v>234.70699458106901</c:v>
                </c:pt>
                <c:pt idx="76">
                  <c:v>4108.2839673075378</c:v>
                </c:pt>
                <c:pt idx="77">
                  <c:v>4827.7647448061143</c:v>
                </c:pt>
                <c:pt idx="78">
                  <c:v>6002.7276184325401</c:v>
                </c:pt>
                <c:pt idx="79">
                  <c:v>10.458072533438099</c:v>
                </c:pt>
                <c:pt idx="80">
                  <c:v>-1249.5017923113664</c:v>
                </c:pt>
                <c:pt idx="81">
                  <c:v>-1242.9261549596758</c:v>
                </c:pt>
                <c:pt idx="82">
                  <c:v>194.33672351591304</c:v>
                </c:pt>
                <c:pt idx="83">
                  <c:v>2285.4870032664148</c:v>
                </c:pt>
                <c:pt idx="84">
                  <c:v>1688.1274973149993</c:v>
                </c:pt>
                <c:pt idx="85">
                  <c:v>-944.02333327499218</c:v>
                </c:pt>
                <c:pt idx="86">
                  <c:v>-365.00216286290197</c:v>
                </c:pt>
                <c:pt idx="87">
                  <c:v>867.47938067830182</c:v>
                </c:pt>
                <c:pt idx="88">
                  <c:v>1678.1120388295094</c:v>
                </c:pt>
                <c:pt idx="89">
                  <c:v>1238.2069926396325</c:v>
                </c:pt>
                <c:pt idx="90">
                  <c:v>-3082.3888758697312</c:v>
                </c:pt>
                <c:pt idx="91">
                  <c:v>103.45811163323015</c:v>
                </c:pt>
                <c:pt idx="92">
                  <c:v>-3.5779211677981948</c:v>
                </c:pt>
                <c:pt idx="93">
                  <c:v>1906.2619727100537</c:v>
                </c:pt>
                <c:pt idx="94">
                  <c:v>243.54979979963173</c:v>
                </c:pt>
                <c:pt idx="95">
                  <c:v>-4181.0386760079809</c:v>
                </c:pt>
                <c:pt idx="96">
                  <c:v>-4192.5346382741345</c:v>
                </c:pt>
                <c:pt idx="97">
                  <c:v>-1037.0463233411028</c:v>
                </c:pt>
                <c:pt idx="98">
                  <c:v>2667.0667268938778</c:v>
                </c:pt>
                <c:pt idx="99">
                  <c:v>6895.9247826384217</c:v>
                </c:pt>
                <c:pt idx="100">
                  <c:v>4488.867729310703</c:v>
                </c:pt>
                <c:pt idx="101">
                  <c:v>4437.2846987387547</c:v>
                </c:pt>
                <c:pt idx="102">
                  <c:v>-4046.5749389707471</c:v>
                </c:pt>
                <c:pt idx="103">
                  <c:v>-5582.773916515167</c:v>
                </c:pt>
                <c:pt idx="104">
                  <c:v>-513.03294122288571</c:v>
                </c:pt>
                <c:pt idx="105">
                  <c:v>3859.3852387981678</c:v>
                </c:pt>
                <c:pt idx="106">
                  <c:v>5293.3681155521499</c:v>
                </c:pt>
                <c:pt idx="107">
                  <c:v>1189.3218028539504</c:v>
                </c:pt>
                <c:pt idx="108">
                  <c:v>1370.5715975303629</c:v>
                </c:pt>
                <c:pt idx="109">
                  <c:v>747.86477995517453</c:v>
                </c:pt>
                <c:pt idx="110">
                  <c:v>-1399.0928669615278</c:v>
                </c:pt>
              </c:numCache>
            </c:numRef>
          </c:yVal>
          <c:smooth val="0"/>
          <c:extLst>
            <c:ext xmlns:c16="http://schemas.microsoft.com/office/drawing/2014/chart" uri="{C3380CC4-5D6E-409C-BE32-E72D297353CC}">
              <c16:uniqueId val="{00000000-2460-44ED-82CF-68C0C95DFE4D}"/>
            </c:ext>
          </c:extLst>
        </c:ser>
        <c:dLbls>
          <c:showLegendKey val="0"/>
          <c:showVal val="0"/>
          <c:showCatName val="0"/>
          <c:showSerName val="0"/>
          <c:showPercent val="0"/>
          <c:showBubbleSize val="0"/>
        </c:dLbls>
        <c:axId val="653541615"/>
        <c:axId val="653542447"/>
      </c:scatterChart>
      <c:valAx>
        <c:axId val="65354161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53542447"/>
        <c:crosses val="autoZero"/>
        <c:crossBetween val="midCat"/>
      </c:valAx>
      <c:valAx>
        <c:axId val="6535424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53541615"/>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yVal>
            <c:numRef>
              <c:f>calc!$H$114:$H$291</c:f>
              <c:numCache>
                <c:formatCode>0</c:formatCode>
                <c:ptCount val="178"/>
                <c:pt idx="0">
                  <c:v>12760.632216809256</c:v>
                </c:pt>
                <c:pt idx="1">
                  <c:v>-702.91350032838477</c:v>
                </c:pt>
                <c:pt idx="2">
                  <c:v>6545.15201356536</c:v>
                </c:pt>
                <c:pt idx="3">
                  <c:v>19506.74196477134</c:v>
                </c:pt>
                <c:pt idx="4">
                  <c:v>15002.713548523647</c:v>
                </c:pt>
                <c:pt idx="5">
                  <c:v>9143.0664851000602</c:v>
                </c:pt>
                <c:pt idx="6">
                  <c:v>13975.000398490434</c:v>
                </c:pt>
                <c:pt idx="7">
                  <c:v>13487.166907813373</c:v>
                </c:pt>
                <c:pt idx="8">
                  <c:v>5371.1336768548745</c:v>
                </c:pt>
                <c:pt idx="9">
                  <c:v>7794.9093338588164</c:v>
                </c:pt>
                <c:pt idx="10">
                  <c:v>20872.078114650922</c:v>
                </c:pt>
                <c:pt idx="11">
                  <c:v>4228.6739549810691</c:v>
                </c:pt>
                <c:pt idx="12">
                  <c:v>7613.8098803505018</c:v>
                </c:pt>
                <c:pt idx="13">
                  <c:v>10092.480062732371</c:v>
                </c:pt>
                <c:pt idx="14">
                  <c:v>3161.009888085192</c:v>
                </c:pt>
                <c:pt idx="15">
                  <c:v>5397.9762408159804</c:v>
                </c:pt>
                <c:pt idx="16">
                  <c:v>13241.998730685817</c:v>
                </c:pt>
                <c:pt idx="17">
                  <c:v>11818.898468808911</c:v>
                </c:pt>
                <c:pt idx="18">
                  <c:v>15821.773954965764</c:v>
                </c:pt>
                <c:pt idx="19">
                  <c:v>12502.156440193492</c:v>
                </c:pt>
                <c:pt idx="20">
                  <c:v>12138.092205396268</c:v>
                </c:pt>
                <c:pt idx="21">
                  <c:v>4849.1702135570931</c:v>
                </c:pt>
                <c:pt idx="22">
                  <c:v>14952.168565237112</c:v>
                </c:pt>
                <c:pt idx="23">
                  <c:v>9320.3185518624468</c:v>
                </c:pt>
                <c:pt idx="24">
                  <c:v>8352.1631707353845</c:v>
                </c:pt>
                <c:pt idx="25">
                  <c:v>9889.7384829865441</c:v>
                </c:pt>
                <c:pt idx="26">
                  <c:v>20782.255838260178</c:v>
                </c:pt>
                <c:pt idx="27">
                  <c:v>9261.8237780126456</c:v>
                </c:pt>
                <c:pt idx="28">
                  <c:v>11530.868207335028</c:v>
                </c:pt>
                <c:pt idx="29">
                  <c:v>-1207.1144274285407</c:v>
                </c:pt>
                <c:pt idx="30">
                  <c:v>8112.9083657293786</c:v>
                </c:pt>
                <c:pt idx="31">
                  <c:v>8674.3285214256521</c:v>
                </c:pt>
                <c:pt idx="32">
                  <c:v>8146.8364722479901</c:v>
                </c:pt>
                <c:pt idx="33">
                  <c:v>18943.935106908302</c:v>
                </c:pt>
                <c:pt idx="34">
                  <c:v>4203.2440293513564</c:v>
                </c:pt>
                <c:pt idx="35">
                  <c:v>8401.1411850649292</c:v>
                </c:pt>
                <c:pt idx="36">
                  <c:v>5716.3274301373031</c:v>
                </c:pt>
                <c:pt idx="37">
                  <c:v>12915.381932284166</c:v>
                </c:pt>
                <c:pt idx="38">
                  <c:v>22759.125977359326</c:v>
                </c:pt>
                <c:pt idx="39">
                  <c:v>15468.319939921304</c:v>
                </c:pt>
                <c:pt idx="40">
                  <c:v>4038.429546800719</c:v>
                </c:pt>
                <c:pt idx="41">
                  <c:v>14265.047023735748</c:v>
                </c:pt>
                <c:pt idx="42">
                  <c:v>5918.5124171730522</c:v>
                </c:pt>
                <c:pt idx="43">
                  <c:v>1036.5941066359196</c:v>
                </c:pt>
                <c:pt idx="44">
                  <c:v>3901.9592225179804</c:v>
                </c:pt>
                <c:pt idx="45">
                  <c:v>8257.1064951692933</c:v>
                </c:pt>
                <c:pt idx="46">
                  <c:v>12667.769043321974</c:v>
                </c:pt>
                <c:pt idx="47">
                  <c:v>21496.359045386722</c:v>
                </c:pt>
                <c:pt idx="48">
                  <c:v>12418.320094366243</c:v>
                </c:pt>
                <c:pt idx="49">
                  <c:v>22738.158218649307</c:v>
                </c:pt>
                <c:pt idx="50">
                  <c:v>12947.652610846948</c:v>
                </c:pt>
                <c:pt idx="51">
                  <c:v>21952.395730309574</c:v>
                </c:pt>
                <c:pt idx="52">
                  <c:v>5924.8596866883836</c:v>
                </c:pt>
                <c:pt idx="53">
                  <c:v>470.84965739382977</c:v>
                </c:pt>
                <c:pt idx="54">
                  <c:v>11924.489304659319</c:v>
                </c:pt>
                <c:pt idx="55">
                  <c:v>10044.323477113412</c:v>
                </c:pt>
                <c:pt idx="56">
                  <c:v>23227.0474636736</c:v>
                </c:pt>
                <c:pt idx="57">
                  <c:v>19892.882895802115</c:v>
                </c:pt>
                <c:pt idx="58">
                  <c:v>12360.245732038089</c:v>
                </c:pt>
                <c:pt idx="59">
                  <c:v>13743.442524524668</c:v>
                </c:pt>
                <c:pt idx="60">
                  <c:v>9169.6768109210789</c:v>
                </c:pt>
                <c:pt idx="61">
                  <c:v>6424.6558569582476</c:v>
                </c:pt>
                <c:pt idx="62">
                  <c:v>7364.1464535520126</c:v>
                </c:pt>
                <c:pt idx="63">
                  <c:v>14358.154243028357</c:v>
                </c:pt>
                <c:pt idx="64">
                  <c:v>12268.97308304254</c:v>
                </c:pt>
                <c:pt idx="65">
                  <c:v>1724.9809139365109</c:v>
                </c:pt>
                <c:pt idx="66">
                  <c:v>14339.014295183135</c:v>
                </c:pt>
                <c:pt idx="67">
                  <c:v>14531.593112347709</c:v>
                </c:pt>
                <c:pt idx="68">
                  <c:v>17521.227645281691</c:v>
                </c:pt>
                <c:pt idx="69">
                  <c:v>4539.0145821089154</c:v>
                </c:pt>
                <c:pt idx="70">
                  <c:v>4885.5139703707764</c:v>
                </c:pt>
                <c:pt idx="71">
                  <c:v>22415.463605181503</c:v>
                </c:pt>
                <c:pt idx="72">
                  <c:v>3966.7943923619046</c:v>
                </c:pt>
                <c:pt idx="73">
                  <c:v>14181.909925500346</c:v>
                </c:pt>
                <c:pt idx="74">
                  <c:v>14561.701528379117</c:v>
                </c:pt>
                <c:pt idx="75">
                  <c:v>13165.3121119733</c:v>
                </c:pt>
                <c:pt idx="76">
                  <c:v>12828.041221525733</c:v>
                </c:pt>
                <c:pt idx="77">
                  <c:v>21024.973173824877</c:v>
                </c:pt>
                <c:pt idx="78">
                  <c:v>3723.8434779623126</c:v>
                </c:pt>
                <c:pt idx="79">
                  <c:v>12733.640797369191</c:v>
                </c:pt>
                <c:pt idx="80">
                  <c:v>10484.085134031975</c:v>
                </c:pt>
                <c:pt idx="81">
                  <c:v>18384.291620346103</c:v>
                </c:pt>
                <c:pt idx="82">
                  <c:v>18441.072401630485</c:v>
                </c:pt>
                <c:pt idx="83">
                  <c:v>12282.461361725007</c:v>
                </c:pt>
                <c:pt idx="84">
                  <c:v>6746.5810091720978</c:v>
                </c:pt>
                <c:pt idx="85">
                  <c:v>11158.567587453748</c:v>
                </c:pt>
                <c:pt idx="86">
                  <c:v>4953.8414659788659</c:v>
                </c:pt>
                <c:pt idx="87">
                  <c:v>20202.947541572637</c:v>
                </c:pt>
                <c:pt idx="88">
                  <c:v>4823.6340916204954</c:v>
                </c:pt>
                <c:pt idx="89">
                  <c:v>9726.6737948634382</c:v>
                </c:pt>
                <c:pt idx="90">
                  <c:v>10305.117336562214</c:v>
                </c:pt>
                <c:pt idx="91">
                  <c:v>18555.628428578591</c:v>
                </c:pt>
                <c:pt idx="92">
                  <c:v>10346.532036348393</c:v>
                </c:pt>
                <c:pt idx="93">
                  <c:v>13045.575918974539</c:v>
                </c:pt>
                <c:pt idx="94">
                  <c:v>22967.301971983576</c:v>
                </c:pt>
                <c:pt idx="95">
                  <c:v>804.17365388064434</c:v>
                </c:pt>
                <c:pt idx="96">
                  <c:v>13612.206166825094</c:v>
                </c:pt>
                <c:pt idx="97">
                  <c:v>23902.492409571358</c:v>
                </c:pt>
                <c:pt idx="98">
                  <c:v>6334.9605340702519</c:v>
                </c:pt>
                <c:pt idx="99">
                  <c:v>8064.8617291640112</c:v>
                </c:pt>
                <c:pt idx="100">
                  <c:v>8649.64044545041</c:v>
                </c:pt>
                <c:pt idx="101">
                  <c:v>14320.600966333897</c:v>
                </c:pt>
                <c:pt idx="102">
                  <c:v>13922.329719435447</c:v>
                </c:pt>
                <c:pt idx="103">
                  <c:v>24043.132320754059</c:v>
                </c:pt>
                <c:pt idx="104">
                  <c:v>12585.393048479847</c:v>
                </c:pt>
                <c:pt idx="105">
                  <c:v>2620.2922510082508</c:v>
                </c:pt>
                <c:pt idx="106">
                  <c:v>10912.338360908587</c:v>
                </c:pt>
                <c:pt idx="107">
                  <c:v>15314.843287495629</c:v>
                </c:pt>
                <c:pt idx="108">
                  <c:v>8719.3972244285087</c:v>
                </c:pt>
                <c:pt idx="109">
                  <c:v>7512.094422801134</c:v>
                </c:pt>
                <c:pt idx="110">
                  <c:v>14496.498281194488</c:v>
                </c:pt>
                <c:pt idx="111">
                  <c:v>13578.719470898775</c:v>
                </c:pt>
                <c:pt idx="112">
                  <c:v>7032.9220925554655</c:v>
                </c:pt>
                <c:pt idx="113">
                  <c:v>11732.676789144854</c:v>
                </c:pt>
                <c:pt idx="114">
                  <c:v>19609.464279568052</c:v>
                </c:pt>
                <c:pt idx="115">
                  <c:v>18059.863442440994</c:v>
                </c:pt>
                <c:pt idx="116">
                  <c:v>7724.4768592623213</c:v>
                </c:pt>
                <c:pt idx="117">
                  <c:v>5989.4244675495484</c:v>
                </c:pt>
                <c:pt idx="118">
                  <c:v>11657.2848326288</c:v>
                </c:pt>
                <c:pt idx="119">
                  <c:v>16774.840974396709</c:v>
                </c:pt>
                <c:pt idx="120">
                  <c:v>15035.205984369606</c:v>
                </c:pt>
                <c:pt idx="121">
                  <c:v>10898.576697295623</c:v>
                </c:pt>
                <c:pt idx="122">
                  <c:v>11144.591999343316</c:v>
                </c:pt>
                <c:pt idx="123">
                  <c:v>14146.154281046613</c:v>
                </c:pt>
                <c:pt idx="124">
                  <c:v>13806.569463730242</c:v>
                </c:pt>
                <c:pt idx="125">
                  <c:v>19159.000647230994</c:v>
                </c:pt>
                <c:pt idx="126">
                  <c:v>11085.47755535376</c:v>
                </c:pt>
                <c:pt idx="127">
                  <c:v>6161.8302405804452</c:v>
                </c:pt>
                <c:pt idx="128">
                  <c:v>7663.5967868011976</c:v>
                </c:pt>
                <c:pt idx="129">
                  <c:v>12979.452122119206</c:v>
                </c:pt>
                <c:pt idx="130">
                  <c:v>9303.3148777184306</c:v>
                </c:pt>
                <c:pt idx="131">
                  <c:v>7350.901998694987</c:v>
                </c:pt>
                <c:pt idx="132">
                  <c:v>12675.269916612826</c:v>
                </c:pt>
                <c:pt idx="133">
                  <c:v>12270.728139120984</c:v>
                </c:pt>
                <c:pt idx="134">
                  <c:v>19358.829617981755</c:v>
                </c:pt>
                <c:pt idx="135">
                  <c:v>11142.041424622679</c:v>
                </c:pt>
                <c:pt idx="136">
                  <c:v>6640.7072570074706</c:v>
                </c:pt>
                <c:pt idx="137">
                  <c:v>5830.2521658768192</c:v>
                </c:pt>
                <c:pt idx="138">
                  <c:v>10641.402361450037</c:v>
                </c:pt>
                <c:pt idx="139">
                  <c:v>5610.048921876928</c:v>
                </c:pt>
                <c:pt idx="140">
                  <c:v>14354.211293318956</c:v>
                </c:pt>
                <c:pt idx="141">
                  <c:v>14281.215957684999</c:v>
                </c:pt>
                <c:pt idx="142">
                  <c:v>5667.966466494353</c:v>
                </c:pt>
                <c:pt idx="143">
                  <c:v>-2202.1618603863531</c:v>
                </c:pt>
                <c:pt idx="144">
                  <c:v>11900.808720922118</c:v>
                </c:pt>
                <c:pt idx="145">
                  <c:v>13901.504311466055</c:v>
                </c:pt>
                <c:pt idx="146">
                  <c:v>14682.021536998858</c:v>
                </c:pt>
                <c:pt idx="147">
                  <c:v>8630.9025851798251</c:v>
                </c:pt>
                <c:pt idx="148">
                  <c:v>10586.924748963076</c:v>
                </c:pt>
                <c:pt idx="149">
                  <c:v>26302.752455178263</c:v>
                </c:pt>
                <c:pt idx="150">
                  <c:v>10789.344917675562</c:v>
                </c:pt>
                <c:pt idx="151">
                  <c:v>14111.813369842344</c:v>
                </c:pt>
                <c:pt idx="152">
                  <c:v>8325.9438174809511</c:v>
                </c:pt>
                <c:pt idx="153">
                  <c:v>7009.4653231411539</c:v>
                </c:pt>
                <c:pt idx="154">
                  <c:v>14131.540281897418</c:v>
                </c:pt>
                <c:pt idx="155">
                  <c:v>12637.732452907723</c:v>
                </c:pt>
                <c:pt idx="156">
                  <c:v>13282.916162392656</c:v>
                </c:pt>
                <c:pt idx="157">
                  <c:v>12339.46176404317</c:v>
                </c:pt>
                <c:pt idx="158">
                  <c:v>4741.2799611377495</c:v>
                </c:pt>
                <c:pt idx="159">
                  <c:v>15019.979673628925</c:v>
                </c:pt>
                <c:pt idx="160">
                  <c:v>16036.906394666788</c:v>
                </c:pt>
                <c:pt idx="161">
                  <c:v>7173.1779355913668</c:v>
                </c:pt>
                <c:pt idx="162">
                  <c:v>13700.264535059296</c:v>
                </c:pt>
                <c:pt idx="163">
                  <c:v>3075.1187891386935</c:v>
                </c:pt>
                <c:pt idx="164">
                  <c:v>16730.718898100251</c:v>
                </c:pt>
                <c:pt idx="165">
                  <c:v>13379.156436656212</c:v>
                </c:pt>
                <c:pt idx="166">
                  <c:v>8804.6384707722482</c:v>
                </c:pt>
                <c:pt idx="167">
                  <c:v>11742.582379368983</c:v>
                </c:pt>
                <c:pt idx="168">
                  <c:v>105.39100923337396</c:v>
                </c:pt>
                <c:pt idx="169">
                  <c:v>8770.1505839737911</c:v>
                </c:pt>
                <c:pt idx="170">
                  <c:v>21209.047324168081</c:v>
                </c:pt>
                <c:pt idx="171">
                  <c:v>11217.730159938308</c:v>
                </c:pt>
                <c:pt idx="172">
                  <c:v>21456.724751207428</c:v>
                </c:pt>
                <c:pt idx="173">
                  <c:v>13987.876164184916</c:v>
                </c:pt>
                <c:pt idx="174">
                  <c:v>11062.981068222471</c:v>
                </c:pt>
                <c:pt idx="175">
                  <c:v>-3994.8541619210764</c:v>
                </c:pt>
                <c:pt idx="176">
                  <c:v>9379.2792315516544</c:v>
                </c:pt>
                <c:pt idx="177">
                  <c:v>26272.203994099316</c:v>
                </c:pt>
              </c:numCache>
            </c:numRef>
          </c:yVal>
          <c:smooth val="0"/>
          <c:extLst>
            <c:ext xmlns:c16="http://schemas.microsoft.com/office/drawing/2014/chart" uri="{C3380CC4-5D6E-409C-BE32-E72D297353CC}">
              <c16:uniqueId val="{00000000-DD0E-4C2B-BC5A-541793F3CED7}"/>
            </c:ext>
          </c:extLst>
        </c:ser>
        <c:dLbls>
          <c:showLegendKey val="0"/>
          <c:showVal val="0"/>
          <c:showCatName val="0"/>
          <c:showSerName val="0"/>
          <c:showPercent val="0"/>
          <c:showBubbleSize val="0"/>
        </c:dLbls>
        <c:axId val="1209090160"/>
        <c:axId val="1209094320"/>
      </c:scatterChart>
      <c:valAx>
        <c:axId val="12090901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209094320"/>
        <c:crosses val="autoZero"/>
        <c:crossBetween val="midCat"/>
      </c:valAx>
      <c:valAx>
        <c:axId val="12090943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2090901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yVal>
            <c:numRef>
              <c:f>calc!$L$114:$L$185</c:f>
              <c:numCache>
                <c:formatCode>0</c:formatCode>
                <c:ptCount val="72"/>
                <c:pt idx="0">
                  <c:v>17493.349619153305</c:v>
                </c:pt>
                <c:pt idx="1">
                  <c:v>16811.207372096469</c:v>
                </c:pt>
                <c:pt idx="2">
                  <c:v>18680.323464328096</c:v>
                </c:pt>
                <c:pt idx="3">
                  <c:v>18993.185604909733</c:v>
                </c:pt>
                <c:pt idx="4">
                  <c:v>20291.399194009005</c:v>
                </c:pt>
                <c:pt idx="5">
                  <c:v>19300.664744389891</c:v>
                </c:pt>
                <c:pt idx="6">
                  <c:v>19209.73231340068</c:v>
                </c:pt>
                <c:pt idx="7">
                  <c:v>17892.985354458615</c:v>
                </c:pt>
                <c:pt idx="8">
                  <c:v>19484.829049494929</c:v>
                </c:pt>
                <c:pt idx="9">
                  <c:v>21783.368767924985</c:v>
                </c:pt>
                <c:pt idx="10">
                  <c:v>18818.998655892803</c:v>
                </c:pt>
                <c:pt idx="11">
                  <c:v>14795.523056588039</c:v>
                </c:pt>
                <c:pt idx="12">
                  <c:v>19165.203940845207</c:v>
                </c:pt>
                <c:pt idx="13">
                  <c:v>21013.508353374513</c:v>
                </c:pt>
                <c:pt idx="14">
                  <c:v>18155.093498674891</c:v>
                </c:pt>
                <c:pt idx="15">
                  <c:v>19884.943624509913</c:v>
                </c:pt>
                <c:pt idx="16">
                  <c:v>21130.217629546336</c:v>
                </c:pt>
                <c:pt idx="17">
                  <c:v>20258.712654174822</c:v>
                </c:pt>
                <c:pt idx="18">
                  <c:v>17946.447411828813</c:v>
                </c:pt>
                <c:pt idx="19">
                  <c:v>18653.920914466842</c:v>
                </c:pt>
                <c:pt idx="20">
                  <c:v>19039.079645701815</c:v>
                </c:pt>
                <c:pt idx="21">
                  <c:v>18453.424028403686</c:v>
                </c:pt>
                <c:pt idx="22">
                  <c:v>17698.483660622667</c:v>
                </c:pt>
                <c:pt idx="23">
                  <c:v>16808.676610908438</c:v>
                </c:pt>
                <c:pt idx="24">
                  <c:v>18946.385870862588</c:v>
                </c:pt>
                <c:pt idx="25">
                  <c:v>19385.948829294528</c:v>
                </c:pt>
                <c:pt idx="26">
                  <c:v>18675.88150992489</c:v>
                </c:pt>
                <c:pt idx="27">
                  <c:v>21062.854091420733</c:v>
                </c:pt>
                <c:pt idx="28">
                  <c:v>19296.39529117323</c:v>
                </c:pt>
                <c:pt idx="29">
                  <c:v>18635.340771316587</c:v>
                </c:pt>
                <c:pt idx="30">
                  <c:v>18683.354207508684</c:v>
                </c:pt>
                <c:pt idx="31">
                  <c:v>23397.554528973269</c:v>
                </c:pt>
                <c:pt idx="32">
                  <c:v>24494.811918879059</c:v>
                </c:pt>
                <c:pt idx="33">
                  <c:v>18546.426722424058</c:v>
                </c:pt>
                <c:pt idx="34">
                  <c:v>16286.830845088814</c:v>
                </c:pt>
                <c:pt idx="35">
                  <c:v>17578.012972016266</c:v>
                </c:pt>
                <c:pt idx="36">
                  <c:v>20973.279422788619</c:v>
                </c:pt>
                <c:pt idx="37">
                  <c:v>21085.245170205155</c:v>
                </c:pt>
                <c:pt idx="38">
                  <c:v>19764.081673364872</c:v>
                </c:pt>
                <c:pt idx="39">
                  <c:v>17258.866929457421</c:v>
                </c:pt>
                <c:pt idx="40">
                  <c:v>17382.403378880965</c:v>
                </c:pt>
                <c:pt idx="41">
                  <c:v>20820.209880197144</c:v>
                </c:pt>
                <c:pt idx="42">
                  <c:v>19336.453518410559</c:v>
                </c:pt>
                <c:pt idx="43">
                  <c:v>17605.328428710236</c:v>
                </c:pt>
                <c:pt idx="44">
                  <c:v>20521.078035373095</c:v>
                </c:pt>
                <c:pt idx="45">
                  <c:v>21860.185875848674</c:v>
                </c:pt>
                <c:pt idx="46">
                  <c:v>21822.348986193723</c:v>
                </c:pt>
                <c:pt idx="47">
                  <c:v>19712.450909467803</c:v>
                </c:pt>
                <c:pt idx="48">
                  <c:v>18085.582223890331</c:v>
                </c:pt>
                <c:pt idx="49">
                  <c:v>18699.448128604901</c:v>
                </c:pt>
                <c:pt idx="50">
                  <c:v>20918.144926727258</c:v>
                </c:pt>
                <c:pt idx="51">
                  <c:v>19699.768946628701</c:v>
                </c:pt>
                <c:pt idx="52">
                  <c:v>16297.181784525657</c:v>
                </c:pt>
                <c:pt idx="53">
                  <c:v>20598.689778104006</c:v>
                </c:pt>
                <c:pt idx="54">
                  <c:v>21553.257242550259</c:v>
                </c:pt>
                <c:pt idx="55">
                  <c:v>17521.968680346439</c:v>
                </c:pt>
                <c:pt idx="56">
                  <c:v>19537.494670396187</c:v>
                </c:pt>
                <c:pt idx="57">
                  <c:v>20689.737222822409</c:v>
                </c:pt>
                <c:pt idx="58">
                  <c:v>23458.794499515836</c:v>
                </c:pt>
                <c:pt idx="59">
                  <c:v>19014.14033623971</c:v>
                </c:pt>
                <c:pt idx="60">
                  <c:v>19531.153255124285</c:v>
                </c:pt>
                <c:pt idx="61">
                  <c:v>18721.070901771076</c:v>
                </c:pt>
                <c:pt idx="62">
                  <c:v>16397.359540442088</c:v>
                </c:pt>
                <c:pt idx="63">
                  <c:v>18676.19239512624</c:v>
                </c:pt>
                <c:pt idx="64">
                  <c:v>20178.353835471375</c:v>
                </c:pt>
                <c:pt idx="65">
                  <c:v>18520.495810823635</c:v>
                </c:pt>
                <c:pt idx="66">
                  <c:v>18661.118596137141</c:v>
                </c:pt>
                <c:pt idx="67">
                  <c:v>23051.167533014399</c:v>
                </c:pt>
                <c:pt idx="68">
                  <c:v>16568.639842858771</c:v>
                </c:pt>
                <c:pt idx="69">
                  <c:v>16835.24338695476</c:v>
                </c:pt>
                <c:pt idx="70">
                  <c:v>20233.056529889611</c:v>
                </c:pt>
                <c:pt idx="71">
                  <c:v>19702.492600886409</c:v>
                </c:pt>
              </c:numCache>
            </c:numRef>
          </c:yVal>
          <c:smooth val="0"/>
          <c:extLst>
            <c:ext xmlns:c16="http://schemas.microsoft.com/office/drawing/2014/chart" uri="{C3380CC4-5D6E-409C-BE32-E72D297353CC}">
              <c16:uniqueId val="{00000000-D73A-438C-8246-B3624175490E}"/>
            </c:ext>
          </c:extLst>
        </c:ser>
        <c:dLbls>
          <c:showLegendKey val="0"/>
          <c:showVal val="0"/>
          <c:showCatName val="0"/>
          <c:showSerName val="0"/>
          <c:showPercent val="0"/>
          <c:showBubbleSize val="0"/>
        </c:dLbls>
        <c:axId val="1352689407"/>
        <c:axId val="1352693567"/>
      </c:scatterChart>
      <c:valAx>
        <c:axId val="135268940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52693567"/>
        <c:crosses val="autoZero"/>
        <c:crossBetween val="midCat"/>
      </c:valAx>
      <c:valAx>
        <c:axId val="13526935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5268940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'r-in'!$B$6:$B$25</c:f>
              <c:numCache>
                <c:formatCode>0</c:formatCode>
                <c:ptCount val="20"/>
                <c:pt idx="0">
                  <c:v>22762.735113389674</c:v>
                </c:pt>
                <c:pt idx="1">
                  <c:v>23045.11979094633</c:v>
                </c:pt>
                <c:pt idx="2">
                  <c:v>22339.110150318451</c:v>
                </c:pt>
                <c:pt idx="3">
                  <c:v>22775.522766505474</c:v>
                </c:pt>
                <c:pt idx="4">
                  <c:v>21565.371057622633</c:v>
                </c:pt>
                <c:pt idx="5">
                  <c:v>21484.779537601305</c:v>
                </c:pt>
                <c:pt idx="6">
                  <c:v>20618.182524658285</c:v>
                </c:pt>
                <c:pt idx="7">
                  <c:v>20735.686408784619</c:v>
                </c:pt>
                <c:pt idx="8">
                  <c:v>19539.123196764151</c:v>
                </c:pt>
                <c:pt idx="9">
                  <c:v>19735.083957232426</c:v>
                </c:pt>
                <c:pt idx="10">
                  <c:v>19984.573897562765</c:v>
                </c:pt>
                <c:pt idx="11">
                  <c:v>19992.405125603989</c:v>
                </c:pt>
                <c:pt idx="12">
                  <c:v>18608.139975000864</c:v>
                </c:pt>
                <c:pt idx="13">
                  <c:v>18651.615448489407</c:v>
                </c:pt>
                <c:pt idx="16">
                  <c:v>23335.319670274122</c:v>
                </c:pt>
                <c:pt idx="17">
                  <c:v>23403.517206440953</c:v>
                </c:pt>
                <c:pt idx="18">
                  <c:v>22938.955121721759</c:v>
                </c:pt>
                <c:pt idx="19">
                  <c:v>22913.485966647815</c:v>
                </c:pt>
              </c:numCache>
            </c:numRef>
          </c:xVal>
          <c:yVal>
            <c:numRef>
              <c:f>'r-in'!$F$6:$F$25</c:f>
              <c:numCache>
                <c:formatCode>0</c:formatCode>
                <c:ptCount val="20"/>
                <c:pt idx="0">
                  <c:v>20619.485016681738</c:v>
                </c:pt>
                <c:pt idx="1">
                  <c:v>20992.185981453422</c:v>
                </c:pt>
                <c:pt idx="2">
                  <c:v>20394.627655654938</c:v>
                </c:pt>
                <c:pt idx="3">
                  <c:v>21139.777811584365</c:v>
                </c:pt>
                <c:pt idx="4">
                  <c:v>19893.20472280536</c:v>
                </c:pt>
                <c:pt idx="5">
                  <c:v>19927.996454374919</c:v>
                </c:pt>
                <c:pt idx="6">
                  <c:v>19156.039091343504</c:v>
                </c:pt>
                <c:pt idx="7">
                  <c:v>19072.315721649411</c:v>
                </c:pt>
                <c:pt idx="8">
                  <c:v>18353.129428557477</c:v>
                </c:pt>
                <c:pt idx="9">
                  <c:v>18567.576427639775</c:v>
                </c:pt>
                <c:pt idx="10">
                  <c:v>18513.447718730447</c:v>
                </c:pt>
                <c:pt idx="11">
                  <c:v>18596.133685885627</c:v>
                </c:pt>
                <c:pt idx="12">
                  <c:v>17357.572532896564</c:v>
                </c:pt>
                <c:pt idx="13">
                  <c:v>17581.001911401447</c:v>
                </c:pt>
                <c:pt idx="16">
                  <c:v>21029.115431979291</c:v>
                </c:pt>
                <c:pt idx="17">
                  <c:v>21295.476793889975</c:v>
                </c:pt>
                <c:pt idx="18">
                  <c:v>21048.899102593041</c:v>
                </c:pt>
                <c:pt idx="19">
                  <c:v>20847.441844048415</c:v>
                </c:pt>
              </c:numCache>
            </c:numRef>
          </c:yVal>
          <c:smooth val="0"/>
          <c:extLst>
            <c:ext xmlns:c16="http://schemas.microsoft.com/office/drawing/2014/chart" uri="{C3380CC4-5D6E-409C-BE32-E72D297353CC}">
              <c16:uniqueId val="{00000000-0153-45DB-BE9D-F18C5D127CA6}"/>
            </c:ext>
          </c:extLst>
        </c:ser>
        <c:dLbls>
          <c:showLegendKey val="0"/>
          <c:showVal val="0"/>
          <c:showCatName val="0"/>
          <c:showSerName val="0"/>
          <c:showPercent val="0"/>
          <c:showBubbleSize val="0"/>
        </c:dLbls>
        <c:axId val="40383232"/>
        <c:axId val="40384768"/>
      </c:scatterChart>
      <c:valAx>
        <c:axId val="40383232"/>
        <c:scaling>
          <c:orientation val="minMax"/>
        </c:scaling>
        <c:delete val="0"/>
        <c:axPos val="b"/>
        <c:numFmt formatCode="0" sourceLinked="1"/>
        <c:majorTickMark val="out"/>
        <c:minorTickMark val="none"/>
        <c:tickLblPos val="nextTo"/>
        <c:crossAx val="40384768"/>
        <c:crosses val="autoZero"/>
        <c:crossBetween val="midCat"/>
      </c:valAx>
      <c:valAx>
        <c:axId val="40384768"/>
        <c:scaling>
          <c:orientation val="minMax"/>
        </c:scaling>
        <c:delete val="0"/>
        <c:axPos val="l"/>
        <c:majorGridlines/>
        <c:numFmt formatCode="0" sourceLinked="1"/>
        <c:majorTickMark val="out"/>
        <c:minorTickMark val="none"/>
        <c:tickLblPos val="nextTo"/>
        <c:crossAx val="40383232"/>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errBars>
            <c:errDir val="y"/>
            <c:errBarType val="both"/>
            <c:errValType val="percentage"/>
            <c:noEndCap val="0"/>
            <c:val val="0.2"/>
          </c:errBars>
          <c:errBars>
            <c:errDir val="x"/>
            <c:errBarType val="both"/>
            <c:errValType val="percentage"/>
            <c:noEndCap val="0"/>
            <c:val val="0.2"/>
          </c:errBars>
          <c:xVal>
            <c:numRef>
              <c:f>'r-in'!$B$82:$B$85</c:f>
              <c:numCache>
                <c:formatCode>0</c:formatCode>
                <c:ptCount val="4"/>
                <c:pt idx="0">
                  <c:v>23051.345125484833</c:v>
                </c:pt>
                <c:pt idx="1">
                  <c:v>23079.7501893392</c:v>
                </c:pt>
                <c:pt idx="2">
                  <c:v>22960.543890948869</c:v>
                </c:pt>
                <c:pt idx="3">
                  <c:v>23051.243498334978</c:v>
                </c:pt>
              </c:numCache>
            </c:numRef>
          </c:xVal>
          <c:yVal>
            <c:numRef>
              <c:f>'r-in'!$F$82:$F$85</c:f>
              <c:numCache>
                <c:formatCode>0</c:formatCode>
                <c:ptCount val="4"/>
                <c:pt idx="0">
                  <c:v>21079.797215157014</c:v>
                </c:pt>
                <c:pt idx="1">
                  <c:v>20999.292003465926</c:v>
                </c:pt>
                <c:pt idx="2">
                  <c:v>20826.329703802479</c:v>
                </c:pt>
                <c:pt idx="3">
                  <c:v>20858.185747326897</c:v>
                </c:pt>
              </c:numCache>
            </c:numRef>
          </c:yVal>
          <c:smooth val="0"/>
          <c:extLst>
            <c:ext xmlns:c16="http://schemas.microsoft.com/office/drawing/2014/chart" uri="{C3380CC4-5D6E-409C-BE32-E72D297353CC}">
              <c16:uniqueId val="{00000000-B406-4349-B3C1-0CFFF1C977BD}"/>
            </c:ext>
          </c:extLst>
        </c:ser>
        <c:dLbls>
          <c:showLegendKey val="0"/>
          <c:showVal val="0"/>
          <c:showCatName val="0"/>
          <c:showSerName val="0"/>
          <c:showPercent val="0"/>
          <c:showBubbleSize val="0"/>
        </c:dLbls>
        <c:axId val="40405632"/>
        <c:axId val="40407424"/>
      </c:scatterChart>
      <c:valAx>
        <c:axId val="40405632"/>
        <c:scaling>
          <c:orientation val="minMax"/>
          <c:max val="12"/>
          <c:min val="10"/>
        </c:scaling>
        <c:delete val="0"/>
        <c:axPos val="b"/>
        <c:numFmt formatCode="0" sourceLinked="1"/>
        <c:majorTickMark val="out"/>
        <c:minorTickMark val="none"/>
        <c:tickLblPos val="nextTo"/>
        <c:crossAx val="40407424"/>
        <c:crosses val="autoZero"/>
        <c:crossBetween val="midCat"/>
      </c:valAx>
      <c:valAx>
        <c:axId val="40407424"/>
        <c:scaling>
          <c:orientation val="minMax"/>
          <c:max val="11.5"/>
          <c:min val="9.5"/>
        </c:scaling>
        <c:delete val="0"/>
        <c:axPos val="l"/>
        <c:majorGridlines/>
        <c:numFmt formatCode="0" sourceLinked="1"/>
        <c:majorTickMark val="out"/>
        <c:minorTickMark val="none"/>
        <c:tickLblPos val="nextTo"/>
        <c:crossAx val="40405632"/>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errBars>
            <c:errDir val="y"/>
            <c:errBarType val="both"/>
            <c:errValType val="percentage"/>
            <c:noEndCap val="0"/>
            <c:val val="0.2"/>
          </c:errBars>
          <c:errBars>
            <c:errDir val="x"/>
            <c:errBarType val="both"/>
            <c:errValType val="percentage"/>
            <c:noEndCap val="0"/>
            <c:val val="0.2"/>
          </c:errBars>
          <c:xVal>
            <c:numRef>
              <c:f>'r-in'!$T$82:$T$85</c:f>
              <c:numCache>
                <c:formatCode>0</c:formatCode>
                <c:ptCount val="4"/>
                <c:pt idx="0">
                  <c:v>158.39665536779685</c:v>
                </c:pt>
                <c:pt idx="1">
                  <c:v>297.42520885183404</c:v>
                </c:pt>
                <c:pt idx="2">
                  <c:v>344.9244009419296</c:v>
                </c:pt>
                <c:pt idx="3">
                  <c:v>243.37695237866268</c:v>
                </c:pt>
              </c:numCache>
            </c:numRef>
          </c:xVal>
          <c:yVal>
            <c:numRef>
              <c:f>'r-in'!$P$82:$P$85</c:f>
              <c:numCache>
                <c:formatCode>0</c:formatCode>
                <c:ptCount val="4"/>
                <c:pt idx="0">
                  <c:v>147.6329562276525</c:v>
                </c:pt>
                <c:pt idx="1">
                  <c:v>101.87930653521649</c:v>
                </c:pt>
                <c:pt idx="2">
                  <c:v>489.9534796974234</c:v>
                </c:pt>
                <c:pt idx="3">
                  <c:v>326.47459369502377</c:v>
                </c:pt>
              </c:numCache>
            </c:numRef>
          </c:yVal>
          <c:smooth val="0"/>
          <c:extLst>
            <c:ext xmlns:c16="http://schemas.microsoft.com/office/drawing/2014/chart" uri="{C3380CC4-5D6E-409C-BE32-E72D297353CC}">
              <c16:uniqueId val="{00000000-0149-4831-9FD6-E734D05B9959}"/>
            </c:ext>
          </c:extLst>
        </c:ser>
        <c:dLbls>
          <c:showLegendKey val="0"/>
          <c:showVal val="0"/>
          <c:showCatName val="0"/>
          <c:showSerName val="0"/>
          <c:showPercent val="0"/>
          <c:showBubbleSize val="0"/>
        </c:dLbls>
        <c:axId val="40493440"/>
        <c:axId val="40494976"/>
      </c:scatterChart>
      <c:valAx>
        <c:axId val="40493440"/>
        <c:scaling>
          <c:orientation val="minMax"/>
          <c:max val="13"/>
          <c:min val="9"/>
        </c:scaling>
        <c:delete val="0"/>
        <c:axPos val="b"/>
        <c:numFmt formatCode="0" sourceLinked="1"/>
        <c:majorTickMark val="out"/>
        <c:minorTickMark val="none"/>
        <c:tickLblPos val="nextTo"/>
        <c:crossAx val="40494976"/>
        <c:crosses val="autoZero"/>
        <c:crossBetween val="midCat"/>
      </c:valAx>
      <c:valAx>
        <c:axId val="40494976"/>
        <c:scaling>
          <c:orientation val="minMax"/>
          <c:min val="10"/>
        </c:scaling>
        <c:delete val="0"/>
        <c:axPos val="l"/>
        <c:majorGridlines/>
        <c:numFmt formatCode="0" sourceLinked="1"/>
        <c:majorTickMark val="out"/>
        <c:minorTickMark val="none"/>
        <c:tickLblPos val="nextTo"/>
        <c:crossAx val="40493440"/>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yVal>
            <c:numRef>
              <c:f>'r-in'!$B$82:$B$85</c:f>
              <c:numCache>
                <c:formatCode>0</c:formatCode>
                <c:ptCount val="4"/>
                <c:pt idx="0">
                  <c:v>23051.345125484833</c:v>
                </c:pt>
                <c:pt idx="1">
                  <c:v>23079.7501893392</c:v>
                </c:pt>
                <c:pt idx="2">
                  <c:v>22960.543890948869</c:v>
                </c:pt>
                <c:pt idx="3">
                  <c:v>23051.243498334978</c:v>
                </c:pt>
              </c:numCache>
            </c:numRef>
          </c:yVal>
          <c:smooth val="0"/>
          <c:extLst>
            <c:ext xmlns:c16="http://schemas.microsoft.com/office/drawing/2014/chart" uri="{C3380CC4-5D6E-409C-BE32-E72D297353CC}">
              <c16:uniqueId val="{00000000-380B-493D-8F5A-44C3515A2A32}"/>
            </c:ext>
          </c:extLst>
        </c:ser>
        <c:ser>
          <c:idx val="1"/>
          <c:order val="1"/>
          <c:spPr>
            <a:ln w="28575">
              <a:noFill/>
            </a:ln>
          </c:spPr>
          <c:yVal>
            <c:numRef>
              <c:f>'r-in'!$F$82:$F$85</c:f>
              <c:numCache>
                <c:formatCode>0</c:formatCode>
                <c:ptCount val="4"/>
                <c:pt idx="0">
                  <c:v>21079.797215157014</c:v>
                </c:pt>
                <c:pt idx="1">
                  <c:v>20999.292003465926</c:v>
                </c:pt>
                <c:pt idx="2">
                  <c:v>20826.329703802479</c:v>
                </c:pt>
                <c:pt idx="3">
                  <c:v>20858.185747326897</c:v>
                </c:pt>
              </c:numCache>
            </c:numRef>
          </c:yVal>
          <c:smooth val="0"/>
          <c:extLst>
            <c:ext xmlns:c16="http://schemas.microsoft.com/office/drawing/2014/chart" uri="{C3380CC4-5D6E-409C-BE32-E72D297353CC}">
              <c16:uniqueId val="{00000000-E254-42C6-B0C5-F8807E1EAA57}"/>
            </c:ext>
          </c:extLst>
        </c:ser>
        <c:ser>
          <c:idx val="2"/>
          <c:order val="2"/>
          <c:spPr>
            <a:ln w="28575">
              <a:noFill/>
            </a:ln>
          </c:spPr>
          <c:yVal>
            <c:numRef>
              <c:f>'r-in'!#REF!</c:f>
              <c:numCache>
                <c:formatCode>General</c:formatCode>
                <c:ptCount val="1"/>
                <c:pt idx="0">
                  <c:v>1</c:v>
                </c:pt>
              </c:numCache>
            </c:numRef>
          </c:yVal>
          <c:smooth val="0"/>
          <c:extLst>
            <c:ext xmlns:c16="http://schemas.microsoft.com/office/drawing/2014/chart" uri="{C3380CC4-5D6E-409C-BE32-E72D297353CC}">
              <c16:uniqueId val="{00000001-E254-42C6-B0C5-F8807E1EAA57}"/>
            </c:ext>
          </c:extLst>
        </c:ser>
        <c:ser>
          <c:idx val="3"/>
          <c:order val="3"/>
          <c:spPr>
            <a:ln w="28575">
              <a:noFill/>
            </a:ln>
          </c:spPr>
          <c:yVal>
            <c:numRef>
              <c:f>'r-in'!#REF!</c:f>
              <c:numCache>
                <c:formatCode>General</c:formatCode>
                <c:ptCount val="1"/>
                <c:pt idx="0">
                  <c:v>1</c:v>
                </c:pt>
              </c:numCache>
            </c:numRef>
          </c:yVal>
          <c:smooth val="0"/>
          <c:extLst>
            <c:ext xmlns:c16="http://schemas.microsoft.com/office/drawing/2014/chart" uri="{C3380CC4-5D6E-409C-BE32-E72D297353CC}">
              <c16:uniqueId val="{00000002-E254-42C6-B0C5-F8807E1EAA57}"/>
            </c:ext>
          </c:extLst>
        </c:ser>
        <c:dLbls>
          <c:showLegendKey val="0"/>
          <c:showVal val="0"/>
          <c:showCatName val="0"/>
          <c:showSerName val="0"/>
          <c:showPercent val="0"/>
          <c:showBubbleSize val="0"/>
        </c:dLbls>
        <c:axId val="128950272"/>
        <c:axId val="128951808"/>
      </c:scatterChart>
      <c:valAx>
        <c:axId val="128950272"/>
        <c:scaling>
          <c:orientation val="minMax"/>
        </c:scaling>
        <c:delete val="0"/>
        <c:axPos val="b"/>
        <c:majorTickMark val="out"/>
        <c:minorTickMark val="none"/>
        <c:tickLblPos val="nextTo"/>
        <c:crossAx val="128951808"/>
        <c:crosses val="autoZero"/>
        <c:crossBetween val="midCat"/>
      </c:valAx>
      <c:valAx>
        <c:axId val="128951808"/>
        <c:scaling>
          <c:orientation val="minMax"/>
        </c:scaling>
        <c:delete val="0"/>
        <c:axPos val="l"/>
        <c:majorGridlines/>
        <c:numFmt formatCode="0" sourceLinked="1"/>
        <c:majorTickMark val="out"/>
        <c:minorTickMark val="none"/>
        <c:tickLblPos val="nextTo"/>
        <c:crossAx val="128950272"/>
        <c:crosses val="autoZero"/>
        <c:crossBetween val="midCat"/>
      </c:valAx>
    </c:plotArea>
    <c:plotVisOnly val="1"/>
    <c:dispBlanksAs val="gap"/>
    <c:showDLblsOverMax val="0"/>
  </c:chart>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16" fmlaLink="$L$2" max="30" noThreeD="1" page="10" val="7"/>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editAs="oneCell">
    <xdr:from>
      <xdr:col>12</xdr:col>
      <xdr:colOff>521972</xdr:colOff>
      <xdr:row>22</xdr:row>
      <xdr:rowOff>156028</xdr:rowOff>
    </xdr:from>
    <xdr:to>
      <xdr:col>14</xdr:col>
      <xdr:colOff>396343</xdr:colOff>
      <xdr:row>24</xdr:row>
      <xdr:rowOff>52141</xdr:rowOff>
    </xdr:to>
    <xdr:sp macro="[0]!Tb1_Charts" textlink="">
      <xdr:nvSpPr>
        <xdr:cNvPr id="13" name="Tb1Box:Tb1_Charts">
          <a:extLst>
            <a:ext uri="{FF2B5EF4-FFF2-40B4-BE49-F238E27FC236}">
              <a16:creationId xmlns:a16="http://schemas.microsoft.com/office/drawing/2014/main" id="{00000000-0008-0000-0000-00000D000000}"/>
            </a:ext>
          </a:extLst>
        </xdr:cNvPr>
        <xdr:cNvSpPr/>
      </xdr:nvSpPr>
      <xdr:spPr bwMode="auto">
        <a:xfrm>
          <a:off x="7780022" y="6061528"/>
          <a:ext cx="1074063" cy="277114"/>
        </a:xfrm>
        <a:prstGeom prst="rect">
          <a:avLst/>
        </a:prstGeom>
        <a:solidFill>
          <a:schemeClr val="accent5">
            <a:lumMod val="20000"/>
            <a:lumOff val="80000"/>
          </a:schemeClr>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vert="horz" wrap="square" lIns="18288" tIns="0" rIns="0" bIns="0" rtlCol="0" anchor="ctr" upright="1"/>
        <a:lstStyle/>
        <a:p>
          <a:pPr algn="ctr"/>
          <a:r>
            <a:rPr lang="es-ES" sz="1200" b="0">
              <a:solidFill>
                <a:sysClr val="windowText" lastClr="000000"/>
              </a:solidFill>
            </a:rPr>
            <a:t>Update plots</a:t>
          </a:r>
        </a:p>
      </xdr:txBody>
    </xdr:sp>
    <xdr:clientData/>
  </xdr:twoCellAnchor>
  <xdr:twoCellAnchor editAs="oneCell">
    <xdr:from>
      <xdr:col>20</xdr:col>
      <xdr:colOff>319783</xdr:colOff>
      <xdr:row>28</xdr:row>
      <xdr:rowOff>17901</xdr:rowOff>
    </xdr:from>
    <xdr:to>
      <xdr:col>22</xdr:col>
      <xdr:colOff>319914</xdr:colOff>
      <xdr:row>29</xdr:row>
      <xdr:rowOff>140516</xdr:rowOff>
    </xdr:to>
    <xdr:sp macro="[0]!Show_MyForm_FromButton" textlink="">
      <xdr:nvSpPr>
        <xdr:cNvPr id="4" name="Tb1Box:StdRat">
          <a:extLst>
            <a:ext uri="{FF2B5EF4-FFF2-40B4-BE49-F238E27FC236}">
              <a16:creationId xmlns:a16="http://schemas.microsoft.com/office/drawing/2014/main" id="{00000000-0008-0000-0000-000004000000}"/>
            </a:ext>
          </a:extLst>
        </xdr:cNvPr>
        <xdr:cNvSpPr/>
      </xdr:nvSpPr>
      <xdr:spPr bwMode="auto">
        <a:xfrm>
          <a:off x="11337033" y="7066401"/>
          <a:ext cx="1292702" cy="313115"/>
        </a:xfrm>
        <a:prstGeom prst="rect">
          <a:avLst/>
        </a:prstGeom>
        <a:solidFill>
          <a:schemeClr val="accent5">
            <a:lumMod val="60000"/>
            <a:lumOff val="40000"/>
          </a:schemeClr>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wrap="square" lIns="18288" tIns="0" rIns="0" bIns="0" rtlCol="0" anchor="ctr" upright="1"/>
        <a:lstStyle/>
        <a:p>
          <a:pPr algn="ctr"/>
          <a:r>
            <a:rPr lang="es-ES" sz="1200" b="1"/>
            <a:t>Standards</a:t>
          </a:r>
        </a:p>
      </xdr:txBody>
    </xdr:sp>
    <xdr:clientData/>
  </xdr:twoCellAnchor>
  <xdr:twoCellAnchor editAs="oneCell">
    <xdr:from>
      <xdr:col>20</xdr:col>
      <xdr:colOff>321392</xdr:colOff>
      <xdr:row>25</xdr:row>
      <xdr:rowOff>168485</xdr:rowOff>
    </xdr:from>
    <xdr:to>
      <xdr:col>22</xdr:col>
      <xdr:colOff>321523</xdr:colOff>
      <xdr:row>27</xdr:row>
      <xdr:rowOff>106040</xdr:rowOff>
    </xdr:to>
    <xdr:sp macro="[0]!Show_MyForm_FromButton" textlink="">
      <xdr:nvSpPr>
        <xdr:cNvPr id="5" name="Tb1Box:Start">
          <a:extLst>
            <a:ext uri="{FF2B5EF4-FFF2-40B4-BE49-F238E27FC236}">
              <a16:creationId xmlns:a16="http://schemas.microsoft.com/office/drawing/2014/main" id="{00000000-0008-0000-0000-000005000000}"/>
            </a:ext>
          </a:extLst>
        </xdr:cNvPr>
        <xdr:cNvSpPr/>
      </xdr:nvSpPr>
      <xdr:spPr bwMode="auto">
        <a:xfrm>
          <a:off x="11338642" y="6645485"/>
          <a:ext cx="1292702" cy="318556"/>
        </a:xfrm>
        <a:prstGeom prst="rect">
          <a:avLst/>
        </a:prstGeom>
        <a:solidFill>
          <a:srgbClr val="92D050"/>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wrap="square" lIns="18288" tIns="0" rIns="0" bIns="0" rtlCol="0" anchor="ctr" upright="1"/>
        <a:lstStyle/>
        <a:p>
          <a:pPr algn="ctr"/>
          <a:r>
            <a:rPr lang="es-ES" sz="1200" b="1"/>
            <a:t>Start</a:t>
          </a:r>
        </a:p>
      </xdr:txBody>
    </xdr:sp>
    <xdr:clientData/>
  </xdr:twoCellAnchor>
  <xdr:twoCellAnchor editAs="oneCell">
    <xdr:from>
      <xdr:col>20</xdr:col>
      <xdr:colOff>321392</xdr:colOff>
      <xdr:row>33</xdr:row>
      <xdr:rowOff>92293</xdr:rowOff>
    </xdr:from>
    <xdr:to>
      <xdr:col>22</xdr:col>
      <xdr:colOff>321523</xdr:colOff>
      <xdr:row>35</xdr:row>
      <xdr:rowOff>24406</xdr:rowOff>
    </xdr:to>
    <xdr:sp macro="[0]!PROCESS_Seq_Auto" textlink="">
      <xdr:nvSpPr>
        <xdr:cNvPr id="6" name="15 Rectángulo">
          <a:extLst>
            <a:ext uri="{FF2B5EF4-FFF2-40B4-BE49-F238E27FC236}">
              <a16:creationId xmlns:a16="http://schemas.microsoft.com/office/drawing/2014/main" id="{00000000-0008-0000-0000-000006000000}"/>
            </a:ext>
          </a:extLst>
        </xdr:cNvPr>
        <xdr:cNvSpPr/>
      </xdr:nvSpPr>
      <xdr:spPr bwMode="auto">
        <a:xfrm>
          <a:off x="11338642" y="7902793"/>
          <a:ext cx="1292702" cy="313113"/>
        </a:xfrm>
        <a:prstGeom prst="rect">
          <a:avLst/>
        </a:prstGeom>
        <a:solidFill>
          <a:srgbClr val="FFC000"/>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wrap="square" lIns="18288" tIns="0" rIns="0" bIns="0" rtlCol="0" anchor="ctr" upright="1"/>
        <a:lstStyle/>
        <a:p>
          <a:pPr algn="ctr"/>
          <a:r>
            <a:rPr lang="es-ES" sz="1200" b="1">
              <a:solidFill>
                <a:sysClr val="windowText" lastClr="000000"/>
              </a:solidFill>
            </a:rPr>
            <a:t>Process</a:t>
          </a:r>
        </a:p>
      </xdr:txBody>
    </xdr:sp>
    <xdr:clientData/>
  </xdr:twoCellAnchor>
  <xdr:twoCellAnchor editAs="oneCell">
    <xdr:from>
      <xdr:col>20</xdr:col>
      <xdr:colOff>319783</xdr:colOff>
      <xdr:row>30</xdr:row>
      <xdr:rowOff>52376</xdr:rowOff>
    </xdr:from>
    <xdr:to>
      <xdr:col>22</xdr:col>
      <xdr:colOff>319914</xdr:colOff>
      <xdr:row>31</xdr:row>
      <xdr:rowOff>180432</xdr:rowOff>
    </xdr:to>
    <xdr:sp macro="[0]!Show_MyForm_FromButton" textlink="">
      <xdr:nvSpPr>
        <xdr:cNvPr id="36" name="Tb1Box:DataStructure">
          <a:extLst>
            <a:ext uri="{FF2B5EF4-FFF2-40B4-BE49-F238E27FC236}">
              <a16:creationId xmlns:a16="http://schemas.microsoft.com/office/drawing/2014/main" id="{00000000-0008-0000-0000-000024000000}"/>
            </a:ext>
          </a:extLst>
        </xdr:cNvPr>
        <xdr:cNvSpPr/>
      </xdr:nvSpPr>
      <xdr:spPr bwMode="auto">
        <a:xfrm>
          <a:off x="11337033" y="7481876"/>
          <a:ext cx="1292702" cy="318556"/>
        </a:xfrm>
        <a:prstGeom prst="rect">
          <a:avLst/>
        </a:prstGeom>
        <a:solidFill>
          <a:schemeClr val="accent4">
            <a:lumMod val="60000"/>
            <a:lumOff val="40000"/>
          </a:schemeClr>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wrap="square" lIns="18288" tIns="0" rIns="0" bIns="0" rtlCol="0" anchor="ctr" upright="1"/>
        <a:lstStyle/>
        <a:p>
          <a:pPr algn="ctr"/>
          <a:r>
            <a:rPr lang="es-ES" sz="1200" b="1"/>
            <a:t>Data structure</a:t>
          </a:r>
        </a:p>
      </xdr:txBody>
    </xdr:sp>
    <xdr:clientData/>
  </xdr:twoCellAnchor>
  <xdr:twoCellAnchor editAs="oneCell">
    <xdr:from>
      <xdr:col>10</xdr:col>
      <xdr:colOff>355961</xdr:colOff>
      <xdr:row>22</xdr:row>
      <xdr:rowOff>156028</xdr:rowOff>
    </xdr:from>
    <xdr:to>
      <xdr:col>12</xdr:col>
      <xdr:colOff>54620</xdr:colOff>
      <xdr:row>24</xdr:row>
      <xdr:rowOff>52141</xdr:rowOff>
    </xdr:to>
    <xdr:sp macro="[0]!Misc_FullRebuild" textlink="">
      <xdr:nvSpPr>
        <xdr:cNvPr id="26" name="Tb1Box:Tb1_Charts">
          <a:extLst>
            <a:ext uri="{FF2B5EF4-FFF2-40B4-BE49-F238E27FC236}">
              <a16:creationId xmlns:a16="http://schemas.microsoft.com/office/drawing/2014/main" id="{00000000-0008-0000-0000-00001A000000}"/>
            </a:ext>
          </a:extLst>
        </xdr:cNvPr>
        <xdr:cNvSpPr/>
      </xdr:nvSpPr>
      <xdr:spPr bwMode="auto">
        <a:xfrm>
          <a:off x="6394811" y="6061528"/>
          <a:ext cx="1079667" cy="277114"/>
        </a:xfrm>
        <a:prstGeom prst="rect">
          <a:avLst/>
        </a:prstGeom>
        <a:solidFill>
          <a:schemeClr val="accent4">
            <a:lumMod val="20000"/>
            <a:lumOff val="80000"/>
          </a:schemeClr>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vert="horz" wrap="square" lIns="18288" tIns="0" rIns="0" bIns="0" rtlCol="0" anchor="ctr" upright="1"/>
        <a:lstStyle/>
        <a:p>
          <a:pPr algn="ctr"/>
          <a:r>
            <a:rPr lang="es-ES" sz="1200" b="0">
              <a:solidFill>
                <a:sysClr val="windowText" lastClr="000000"/>
              </a:solidFill>
            </a:rPr>
            <a:t>Update cells</a:t>
          </a:r>
        </a:p>
      </xdr:txBody>
    </xdr:sp>
    <xdr:clientData/>
  </xdr:twoCellAnchor>
  <xdr:twoCellAnchor>
    <xdr:from>
      <xdr:col>7</xdr:col>
      <xdr:colOff>342979</xdr:colOff>
      <xdr:row>42</xdr:row>
      <xdr:rowOff>1</xdr:rowOff>
    </xdr:from>
    <xdr:to>
      <xdr:col>14</xdr:col>
      <xdr:colOff>672353</xdr:colOff>
      <xdr:row>51</xdr:row>
      <xdr:rowOff>33618</xdr:rowOff>
    </xdr:to>
    <xdr:graphicFrame macro="">
      <xdr:nvGraphicFramePr>
        <xdr:cNvPr id="3" name="Diagramm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816429</xdr:colOff>
      <xdr:row>34</xdr:row>
      <xdr:rowOff>45358</xdr:rowOff>
    </xdr:from>
    <xdr:to>
      <xdr:col>41</xdr:col>
      <xdr:colOff>591511</xdr:colOff>
      <xdr:row>56</xdr:row>
      <xdr:rowOff>67236</xdr:rowOff>
    </xdr:to>
    <xdr:graphicFrame macro="">
      <xdr:nvGraphicFramePr>
        <xdr:cNvPr id="9" name="Diagramm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114725</xdr:colOff>
      <xdr:row>81</xdr:row>
      <xdr:rowOff>131589</xdr:rowOff>
    </xdr:from>
    <xdr:to>
      <xdr:col>45</xdr:col>
      <xdr:colOff>618456</xdr:colOff>
      <xdr:row>96</xdr:row>
      <xdr:rowOff>95731</xdr:rowOff>
    </xdr:to>
    <xdr:graphicFrame macro="">
      <xdr:nvGraphicFramePr>
        <xdr:cNvPr id="14" name="Diagramm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100853</xdr:colOff>
      <xdr:row>25</xdr:row>
      <xdr:rowOff>22412</xdr:rowOff>
    </xdr:from>
    <xdr:to>
      <xdr:col>39</xdr:col>
      <xdr:colOff>8802</xdr:colOff>
      <xdr:row>33</xdr:row>
      <xdr:rowOff>34898</xdr:rowOff>
    </xdr:to>
    <xdr:graphicFrame macro="">
      <xdr:nvGraphicFramePr>
        <xdr:cNvPr id="7" name="Diagramm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774006</xdr:colOff>
      <xdr:row>59</xdr:row>
      <xdr:rowOff>161418</xdr:rowOff>
    </xdr:from>
    <xdr:to>
      <xdr:col>43</xdr:col>
      <xdr:colOff>462641</xdr:colOff>
      <xdr:row>82</xdr:row>
      <xdr:rowOff>18142</xdr:rowOff>
    </xdr:to>
    <xdr:graphicFrame macro="">
      <xdr:nvGraphicFramePr>
        <xdr:cNvPr id="16" name="Diagramm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62</xdr:col>
      <xdr:colOff>293391</xdr:colOff>
      <xdr:row>309</xdr:row>
      <xdr:rowOff>67237</xdr:rowOff>
    </xdr:from>
    <xdr:to>
      <xdr:col>80</xdr:col>
      <xdr:colOff>590572</xdr:colOff>
      <xdr:row>332</xdr:row>
      <xdr:rowOff>29882</xdr:rowOff>
    </xdr:to>
    <xdr:pic>
      <xdr:nvPicPr>
        <xdr:cNvPr id="12" name="Grafik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41127626" y="58270590"/>
          <a:ext cx="13506782" cy="4430057"/>
        </a:xfrm>
        <a:prstGeom prst="rect">
          <a:avLst/>
        </a:prstGeom>
      </xdr:spPr>
    </xdr:pic>
    <xdr:clientData/>
  </xdr:twoCellAnchor>
  <xdr:twoCellAnchor>
    <xdr:from>
      <xdr:col>30</xdr:col>
      <xdr:colOff>453573</xdr:colOff>
      <xdr:row>1</xdr:row>
      <xdr:rowOff>0</xdr:rowOff>
    </xdr:from>
    <xdr:to>
      <xdr:col>42</xdr:col>
      <xdr:colOff>498077</xdr:colOff>
      <xdr:row>19</xdr:row>
      <xdr:rowOff>45623</xdr:rowOff>
    </xdr:to>
    <xdr:graphicFrame macro="">
      <xdr:nvGraphicFramePr>
        <xdr:cNvPr id="31" name="Diagramm 30">
          <a:extLst>
            <a:ext uri="{FF2B5EF4-FFF2-40B4-BE49-F238E27FC236}">
              <a16:creationId xmlns:a16="http://schemas.microsoft.com/office/drawing/2014/main" id="{00000000-0008-0000-0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61231</xdr:colOff>
      <xdr:row>219</xdr:row>
      <xdr:rowOff>166007</xdr:rowOff>
    </xdr:from>
    <xdr:to>
      <xdr:col>22</xdr:col>
      <xdr:colOff>537481</xdr:colOff>
      <xdr:row>234</xdr:row>
      <xdr:rowOff>51707</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17</xdr:col>
      <xdr:colOff>483723</xdr:colOff>
      <xdr:row>45</xdr:row>
      <xdr:rowOff>95345</xdr:rowOff>
    </xdr:from>
    <xdr:to>
      <xdr:col>28</xdr:col>
      <xdr:colOff>531477</xdr:colOff>
      <xdr:row>86</xdr:row>
      <xdr:rowOff>36689</xdr:rowOff>
    </xdr:to>
    <xdr:graphicFrame macro="">
      <xdr:nvGraphicFramePr>
        <xdr:cNvPr id="10" name="Chart11B10B">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38100</xdr:colOff>
          <xdr:row>0</xdr:row>
          <xdr:rowOff>38100</xdr:rowOff>
        </xdr:from>
        <xdr:to>
          <xdr:col>12</xdr:col>
          <xdr:colOff>304800</xdr:colOff>
          <xdr:row>2</xdr:row>
          <xdr:rowOff>38100</xdr:rowOff>
        </xdr:to>
        <xdr:sp macro="" textlink="">
          <xdr:nvSpPr>
            <xdr:cNvPr id="9217" name="Spinner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14</xdr:col>
      <xdr:colOff>188086</xdr:colOff>
      <xdr:row>28</xdr:row>
      <xdr:rowOff>85165</xdr:rowOff>
    </xdr:from>
    <xdr:to>
      <xdr:col>16</xdr:col>
      <xdr:colOff>111992</xdr:colOff>
      <xdr:row>43</xdr:row>
      <xdr:rowOff>26379</xdr:rowOff>
    </xdr:to>
    <xdr:grpSp>
      <xdr:nvGrpSpPr>
        <xdr:cNvPr id="3" name="2 Grupo">
          <a:extLst>
            <a:ext uri="{FF2B5EF4-FFF2-40B4-BE49-F238E27FC236}">
              <a16:creationId xmlns:a16="http://schemas.microsoft.com/office/drawing/2014/main" id="{00000000-0008-0000-0100-000003000000}"/>
            </a:ext>
          </a:extLst>
        </xdr:cNvPr>
        <xdr:cNvGrpSpPr/>
      </xdr:nvGrpSpPr>
      <xdr:grpSpPr>
        <a:xfrm>
          <a:off x="12978800" y="4239879"/>
          <a:ext cx="1629335" cy="2118357"/>
          <a:chOff x="20578692" y="5479473"/>
          <a:chExt cx="1385381" cy="2227216"/>
        </a:xfrm>
      </xdr:grpSpPr>
      <xdr:sp macro="" textlink="">
        <xdr:nvSpPr>
          <xdr:cNvPr id="16" name="Rectangle 4">
            <a:extLst>
              <a:ext uri="{FF2B5EF4-FFF2-40B4-BE49-F238E27FC236}">
                <a16:creationId xmlns:a16="http://schemas.microsoft.com/office/drawing/2014/main" id="{00000000-0008-0000-0100-000010000000}"/>
              </a:ext>
            </a:extLst>
          </xdr:cNvPr>
          <xdr:cNvSpPr/>
        </xdr:nvSpPr>
        <xdr:spPr bwMode="auto">
          <a:xfrm>
            <a:off x="20578692" y="5479473"/>
            <a:ext cx="1385381" cy="2227216"/>
          </a:xfrm>
          <a:prstGeom prst="rect">
            <a:avLst/>
          </a:prstGeom>
          <a:solidFill>
            <a:schemeClr val="bg1"/>
          </a:solidFill>
          <a:ln w="12700" cap="flat" cmpd="sng" algn="ctr">
            <a:solidFill>
              <a:sysClr val="windowText" lastClr="000000"/>
            </a:solidFill>
            <a:prstDash val="solid"/>
            <a:miter lim="800000"/>
            <a:headEnd type="none" w="med" len="med"/>
            <a:tailEnd type="none" w="med" len="med"/>
          </a:ln>
          <a:effectLst>
            <a:innerShdw blurRad="114300">
              <a:prstClr val="black"/>
            </a:innerShdw>
          </a:effectLst>
        </xdr:spPr>
        <xdr:txBody>
          <a:bodyPr vertOverflow="clip" horzOverflow="clip" wrap="square" lIns="18288" tIns="0" rIns="0" bIns="0" rtlCol="0" anchor="t" upright="1"/>
          <a:lstStyle/>
          <a:p>
            <a:endParaRPr lang="es-ES"/>
          </a:p>
        </xdr:txBody>
      </xdr:sp>
      <xdr:grpSp>
        <xdr:nvGrpSpPr>
          <xdr:cNvPr id="17" name="Group 16">
            <a:extLst>
              <a:ext uri="{FF2B5EF4-FFF2-40B4-BE49-F238E27FC236}">
                <a16:creationId xmlns:a16="http://schemas.microsoft.com/office/drawing/2014/main" id="{00000000-0008-0000-0100-000011000000}"/>
              </a:ext>
            </a:extLst>
          </xdr:cNvPr>
          <xdr:cNvGrpSpPr/>
        </xdr:nvGrpSpPr>
        <xdr:grpSpPr>
          <a:xfrm>
            <a:off x="20777473" y="5732021"/>
            <a:ext cx="1011933" cy="1784678"/>
            <a:chOff x="20466327" y="6597663"/>
            <a:chExt cx="1040923" cy="2037938"/>
          </a:xfrm>
        </xdr:grpSpPr>
        <xdr:sp macro="[0]!Call_Sub_FromButton" textlink="">
          <xdr:nvSpPr>
            <xdr:cNvPr id="21" name="M_Del.Del_Outliers">
              <a:extLst>
                <a:ext uri="{FF2B5EF4-FFF2-40B4-BE49-F238E27FC236}">
                  <a16:creationId xmlns:a16="http://schemas.microsoft.com/office/drawing/2014/main" id="{00000000-0008-0000-0100-000015000000}"/>
                </a:ext>
              </a:extLst>
            </xdr:cNvPr>
            <xdr:cNvSpPr/>
          </xdr:nvSpPr>
          <xdr:spPr bwMode="auto">
            <a:xfrm>
              <a:off x="20466327" y="8332134"/>
              <a:ext cx="1040923" cy="303467"/>
            </a:xfrm>
            <a:prstGeom prst="rect">
              <a:avLst/>
            </a:prstGeom>
            <a:solidFill>
              <a:schemeClr val="bg1">
                <a:lumMod val="50000"/>
              </a:schemeClr>
            </a:solidFill>
            <a:ln w="9525" cap="flat" cmpd="sng" algn="ctr">
              <a:solidFill>
                <a:srgbClr val="000000"/>
              </a:solidFill>
              <a:prstDash val="solid"/>
              <a:round/>
              <a:headEnd type="none" w="med" len="med"/>
              <a:tailEnd type="none" w="med" len="med"/>
            </a:ln>
            <a:effectLst>
              <a:innerShdw blurRad="63500" dist="50800" dir="2700000">
                <a:prstClr val="black">
                  <a:alpha val="50000"/>
                </a:prstClr>
              </a:innerShdw>
            </a:effectLst>
          </xdr:spPr>
          <xdr:txBody>
            <a:bodyPr vertOverflow="clip" horzOverflow="clip" wrap="square" lIns="18288" tIns="0" rIns="0" bIns="0" rtlCol="0" anchor="ctr" upright="1"/>
            <a:lstStyle/>
            <a:p>
              <a:pPr algn="ctr"/>
              <a:r>
                <a:rPr lang="en-GB" sz="1200" b="1">
                  <a:latin typeface="Arial" panose="020B0604020202020204" pitchFamily="34" charset="0"/>
                  <a:cs typeface="Arial" panose="020B0604020202020204" pitchFamily="34" charset="0"/>
                </a:rPr>
                <a:t>Outliers</a:t>
              </a:r>
            </a:p>
          </xdr:txBody>
        </xdr:sp>
        <xdr:sp macro="[0]!Del_Rows_Last_4" textlink="">
          <xdr:nvSpPr>
            <xdr:cNvPr id="22" name="M_Del.Del_Rows_Last_4">
              <a:extLst>
                <a:ext uri="{FF2B5EF4-FFF2-40B4-BE49-F238E27FC236}">
                  <a16:creationId xmlns:a16="http://schemas.microsoft.com/office/drawing/2014/main" id="{00000000-0008-0000-0100-000016000000}"/>
                </a:ext>
              </a:extLst>
            </xdr:cNvPr>
            <xdr:cNvSpPr/>
          </xdr:nvSpPr>
          <xdr:spPr bwMode="auto">
            <a:xfrm>
              <a:off x="20466327" y="7897989"/>
              <a:ext cx="1040923" cy="309058"/>
            </a:xfrm>
            <a:prstGeom prst="rect">
              <a:avLst/>
            </a:prstGeom>
            <a:solidFill>
              <a:schemeClr val="bg1">
                <a:lumMod val="65000"/>
              </a:schemeClr>
            </a:solidFill>
            <a:ln w="9525" cap="flat" cmpd="sng" algn="ctr">
              <a:solidFill>
                <a:srgbClr val="000000"/>
              </a:solidFill>
              <a:prstDash val="solid"/>
              <a:round/>
              <a:headEnd type="none" w="med" len="med"/>
              <a:tailEnd type="none" w="med" len="med"/>
            </a:ln>
            <a:effectLst>
              <a:innerShdw blurRad="63500" dist="50800" dir="2700000">
                <a:prstClr val="black">
                  <a:alpha val="50000"/>
                </a:prstClr>
              </a:innerShdw>
            </a:effectLst>
          </xdr:spPr>
          <xdr:txBody>
            <a:bodyPr vertOverflow="clip" horzOverflow="clip" wrap="square" lIns="18288" tIns="0" rIns="0" bIns="0" rtlCol="0" anchor="ctr" upright="1"/>
            <a:lstStyle/>
            <a:p>
              <a:pPr algn="ctr"/>
              <a:r>
                <a:rPr lang="en-GB" sz="1200" b="1">
                  <a:latin typeface="Arial" panose="020B0604020202020204" pitchFamily="34" charset="0"/>
                  <a:cs typeface="Arial" panose="020B0604020202020204" pitchFamily="34" charset="0"/>
                </a:rPr>
                <a:t>Last 4 rows</a:t>
              </a:r>
            </a:p>
          </xdr:txBody>
        </xdr:sp>
        <xdr:sp macro="[0]!Call_Sub_FromButton" textlink="">
          <xdr:nvSpPr>
            <xdr:cNvPr id="23" name="M_Del.Del_Rows_Last">
              <a:extLst>
                <a:ext uri="{FF2B5EF4-FFF2-40B4-BE49-F238E27FC236}">
                  <a16:creationId xmlns:a16="http://schemas.microsoft.com/office/drawing/2014/main" id="{00000000-0008-0000-0100-000017000000}"/>
                </a:ext>
              </a:extLst>
            </xdr:cNvPr>
            <xdr:cNvSpPr/>
          </xdr:nvSpPr>
          <xdr:spPr bwMode="auto">
            <a:xfrm>
              <a:off x="20466327" y="7458096"/>
              <a:ext cx="1040923" cy="303465"/>
            </a:xfrm>
            <a:prstGeom prst="rect">
              <a:avLst/>
            </a:prstGeom>
            <a:solidFill>
              <a:schemeClr val="bg1">
                <a:lumMod val="85000"/>
              </a:schemeClr>
            </a:solidFill>
            <a:ln w="9525" cap="flat" cmpd="sng" algn="ctr">
              <a:solidFill>
                <a:srgbClr val="000000"/>
              </a:solidFill>
              <a:prstDash val="solid"/>
              <a:round/>
              <a:headEnd type="none" w="med" len="med"/>
              <a:tailEnd type="none" w="med" len="med"/>
            </a:ln>
            <a:effectLst>
              <a:innerShdw blurRad="63500" dist="50800" dir="2700000">
                <a:prstClr val="black">
                  <a:alpha val="50000"/>
                </a:prstClr>
              </a:innerShdw>
            </a:effectLst>
          </xdr:spPr>
          <xdr:txBody>
            <a:bodyPr vertOverflow="clip" horzOverflow="clip" wrap="square" lIns="18288" tIns="0" rIns="0" bIns="0" rtlCol="0" anchor="ctr" upright="1"/>
            <a:lstStyle/>
            <a:p>
              <a:pPr algn="ctr"/>
              <a:r>
                <a:rPr lang="en-GB" sz="1200" b="1">
                  <a:latin typeface="Arial" panose="020B0604020202020204" pitchFamily="34" charset="0"/>
                  <a:cs typeface="Arial" panose="020B0604020202020204" pitchFamily="34" charset="0"/>
                </a:rPr>
                <a:t>Last row</a:t>
              </a:r>
            </a:p>
          </xdr:txBody>
        </xdr:sp>
        <xdr:sp macro="[0]!Call_Sub_FromButton" textlink="">
          <xdr:nvSpPr>
            <xdr:cNvPr id="24" name="M_Del.Del_Rows_First">
              <a:extLst>
                <a:ext uri="{FF2B5EF4-FFF2-40B4-BE49-F238E27FC236}">
                  <a16:creationId xmlns:a16="http://schemas.microsoft.com/office/drawing/2014/main" id="{00000000-0008-0000-0100-000018000000}"/>
                </a:ext>
              </a:extLst>
            </xdr:cNvPr>
            <xdr:cNvSpPr/>
          </xdr:nvSpPr>
          <xdr:spPr bwMode="auto">
            <a:xfrm>
              <a:off x="20466327" y="7023948"/>
              <a:ext cx="1040923" cy="309059"/>
            </a:xfrm>
            <a:prstGeom prst="rect">
              <a:avLst/>
            </a:prstGeom>
            <a:solidFill>
              <a:schemeClr val="bg1">
                <a:lumMod val="95000"/>
              </a:schemeClr>
            </a:solidFill>
            <a:ln w="9525" cap="flat" cmpd="sng" algn="ctr">
              <a:solidFill>
                <a:srgbClr val="000000"/>
              </a:solidFill>
              <a:prstDash val="solid"/>
              <a:round/>
              <a:headEnd type="none" w="med" len="med"/>
              <a:tailEnd type="none" w="med" len="med"/>
            </a:ln>
            <a:effectLst>
              <a:innerShdw blurRad="63500" dist="50800" dir="2700000">
                <a:prstClr val="black">
                  <a:alpha val="50000"/>
                </a:prstClr>
              </a:innerShdw>
            </a:effectLst>
          </xdr:spPr>
          <xdr:txBody>
            <a:bodyPr vertOverflow="clip" horzOverflow="clip" wrap="square" lIns="18288" tIns="0" rIns="0" bIns="0" rtlCol="0" anchor="ctr" upright="1"/>
            <a:lstStyle/>
            <a:p>
              <a:pPr algn="ctr"/>
              <a:r>
                <a:rPr lang="en-GB" sz="1200" b="1">
                  <a:latin typeface="Arial" panose="020B0604020202020204" pitchFamily="34" charset="0"/>
                  <a:cs typeface="Arial" panose="020B0604020202020204" pitchFamily="34" charset="0"/>
                </a:rPr>
                <a:t>First row</a:t>
              </a:r>
            </a:p>
          </xdr:txBody>
        </xdr:sp>
        <xdr:sp macro="[0]!Call_Sub_FromButton" textlink="">
          <xdr:nvSpPr>
            <xdr:cNvPr id="25" name="M_Data.Data_Refill">
              <a:extLst>
                <a:ext uri="{FF2B5EF4-FFF2-40B4-BE49-F238E27FC236}">
                  <a16:creationId xmlns:a16="http://schemas.microsoft.com/office/drawing/2014/main" id="{00000000-0008-0000-0100-000019000000}"/>
                </a:ext>
              </a:extLst>
            </xdr:cNvPr>
            <xdr:cNvSpPr/>
          </xdr:nvSpPr>
          <xdr:spPr bwMode="auto">
            <a:xfrm>
              <a:off x="20466327" y="6597663"/>
              <a:ext cx="1040923" cy="303465"/>
            </a:xfrm>
            <a:prstGeom prst="rect">
              <a:avLst/>
            </a:prstGeom>
            <a:solidFill>
              <a:schemeClr val="bg1"/>
            </a:solidFill>
            <a:ln w="9525" cap="flat" cmpd="sng" algn="ctr">
              <a:solidFill>
                <a:srgbClr val="000000"/>
              </a:solidFill>
              <a:prstDash val="solid"/>
              <a:round/>
              <a:headEnd type="none" w="med" len="med"/>
              <a:tailEnd type="none" w="med" len="med"/>
            </a:ln>
            <a:effectLst>
              <a:innerShdw blurRad="63500" dist="50800" dir="2700000">
                <a:prstClr val="black">
                  <a:alpha val="50000"/>
                </a:prstClr>
              </a:innerShdw>
            </a:effectLst>
          </xdr:spPr>
          <xdr:txBody>
            <a:bodyPr vertOverflow="clip" horzOverflow="clip" wrap="square" lIns="18288" tIns="0" rIns="0" bIns="0" rtlCol="0" anchor="ctr" upright="1"/>
            <a:lstStyle/>
            <a:p>
              <a:pPr algn="ctr"/>
              <a:r>
                <a:rPr lang="en-GB" sz="1200" b="1">
                  <a:latin typeface="Arial" panose="020B0604020202020204" pitchFamily="34" charset="0"/>
                  <a:cs typeface="Arial" panose="020B0604020202020204" pitchFamily="34" charset="0"/>
                </a:rPr>
                <a:t>Refill</a:t>
              </a:r>
              <a:r>
                <a:rPr lang="en-GB" sz="1200" b="1" baseline="0">
                  <a:latin typeface="Arial" panose="020B0604020202020204" pitchFamily="34" charset="0"/>
                  <a:cs typeface="Arial" panose="020B0604020202020204" pitchFamily="34" charset="0"/>
                </a:rPr>
                <a:t> data</a:t>
              </a:r>
              <a:endParaRPr lang="en-GB" sz="1200" b="1">
                <a:latin typeface="Arial" panose="020B0604020202020204" pitchFamily="34" charset="0"/>
                <a:cs typeface="Arial" panose="020B0604020202020204" pitchFamily="34" charset="0"/>
              </a:endParaRPr>
            </a:p>
          </xdr:txBody>
        </xdr:sp>
      </xdr:grpSp>
    </xdr:grpSp>
    <xdr:clientData/>
  </xdr:twoCellAnchor>
  <xdr:twoCellAnchor editAs="oneCell">
    <xdr:from>
      <xdr:col>18</xdr:col>
      <xdr:colOff>342289</xdr:colOff>
      <xdr:row>106</xdr:row>
      <xdr:rowOff>87546</xdr:rowOff>
    </xdr:from>
    <xdr:to>
      <xdr:col>25</xdr:col>
      <xdr:colOff>136069</xdr:colOff>
      <xdr:row>110</xdr:row>
      <xdr:rowOff>106793</xdr:rowOff>
    </xdr:to>
    <xdr:grpSp>
      <xdr:nvGrpSpPr>
        <xdr:cNvPr id="2" name="1 Grupo">
          <a:extLst>
            <a:ext uri="{FF2B5EF4-FFF2-40B4-BE49-F238E27FC236}">
              <a16:creationId xmlns:a16="http://schemas.microsoft.com/office/drawing/2014/main" id="{00000000-0008-0000-0100-000002000000}"/>
            </a:ext>
          </a:extLst>
        </xdr:cNvPr>
        <xdr:cNvGrpSpPr/>
      </xdr:nvGrpSpPr>
      <xdr:grpSpPr>
        <a:xfrm>
          <a:off x="16326146" y="15926260"/>
          <a:ext cx="5291066" cy="763104"/>
          <a:chOff x="11180393" y="8833184"/>
          <a:chExt cx="4726158" cy="761264"/>
        </a:xfrm>
      </xdr:grpSpPr>
      <xdr:sp macro="" textlink="">
        <xdr:nvSpPr>
          <xdr:cNvPr id="30" name="Rectangle 4">
            <a:extLst>
              <a:ext uri="{FF2B5EF4-FFF2-40B4-BE49-F238E27FC236}">
                <a16:creationId xmlns:a16="http://schemas.microsoft.com/office/drawing/2014/main" id="{00000000-0008-0000-0100-00001E000000}"/>
              </a:ext>
            </a:extLst>
          </xdr:cNvPr>
          <xdr:cNvSpPr/>
        </xdr:nvSpPr>
        <xdr:spPr bwMode="auto">
          <a:xfrm>
            <a:off x="11180393" y="8833184"/>
            <a:ext cx="4726158" cy="761264"/>
          </a:xfrm>
          <a:prstGeom prst="rect">
            <a:avLst/>
          </a:prstGeom>
          <a:solidFill>
            <a:schemeClr val="bg1"/>
          </a:solidFill>
          <a:ln w="12700" cap="flat" cmpd="sng" algn="ctr">
            <a:solidFill>
              <a:sysClr val="windowText" lastClr="000000"/>
            </a:solidFill>
            <a:prstDash val="solid"/>
            <a:round/>
            <a:headEnd type="none" w="med" len="med"/>
            <a:tailEnd type="none" w="med" len="med"/>
          </a:ln>
          <a:effectLst>
            <a:innerShdw blurRad="114300">
              <a:prstClr val="black"/>
            </a:innerShdw>
          </a:effectLst>
        </xdr:spPr>
        <xdr:txBody>
          <a:bodyPr vertOverflow="clip" horzOverflow="clip" wrap="square" lIns="18288" tIns="0" rIns="0" bIns="0" rtlCol="0" anchor="t" upright="1">
            <a:sp3d/>
          </a:bodyPr>
          <a:lstStyle/>
          <a:p>
            <a:endParaRPr lang="es-ES"/>
          </a:p>
        </xdr:txBody>
      </xdr:sp>
      <xdr:grpSp>
        <xdr:nvGrpSpPr>
          <xdr:cNvPr id="31" name="5 Grupo">
            <a:extLst>
              <a:ext uri="{FF2B5EF4-FFF2-40B4-BE49-F238E27FC236}">
                <a16:creationId xmlns:a16="http://schemas.microsoft.com/office/drawing/2014/main" id="{00000000-0008-0000-0100-00001F000000}"/>
              </a:ext>
            </a:extLst>
          </xdr:cNvPr>
          <xdr:cNvGrpSpPr/>
        </xdr:nvGrpSpPr>
        <xdr:grpSpPr>
          <a:xfrm>
            <a:off x="11463985" y="8997265"/>
            <a:ext cx="4119697" cy="433109"/>
            <a:chOff x="11226115" y="10181244"/>
            <a:chExt cx="4148160" cy="440964"/>
          </a:xfrm>
        </xdr:grpSpPr>
        <xdr:sp macro="[0]!Misc_ShortcutKeys_Activate" textlink="">
          <xdr:nvSpPr>
            <xdr:cNvPr id="33" name="Rectangle 17">
              <a:extLst>
                <a:ext uri="{FF2B5EF4-FFF2-40B4-BE49-F238E27FC236}">
                  <a16:creationId xmlns:a16="http://schemas.microsoft.com/office/drawing/2014/main" id="{00000000-0008-0000-0100-000021000000}"/>
                </a:ext>
              </a:extLst>
            </xdr:cNvPr>
            <xdr:cNvSpPr/>
          </xdr:nvSpPr>
          <xdr:spPr bwMode="auto">
            <a:xfrm>
              <a:off x="11226115" y="10182283"/>
              <a:ext cx="553839" cy="438894"/>
            </a:xfrm>
            <a:prstGeom prst="rect">
              <a:avLst/>
            </a:prstGeom>
            <a:solidFill>
              <a:schemeClr val="bg1">
                <a:lumMod val="85000"/>
              </a:schemeClr>
            </a:solidFill>
            <a:ln w="9525" cap="flat" cmpd="sng" algn="ctr">
              <a:solidFill>
                <a:sysClr val="windowText" lastClr="000000"/>
              </a:solidFill>
              <a:prstDash val="solid"/>
              <a:round/>
              <a:headEnd type="none" w="med" len="med"/>
              <a:tailEnd type="none" w="med" len="med"/>
            </a:ln>
            <a:effectLst>
              <a:innerShdw blurRad="63500" dist="50800" dir="5400000">
                <a:prstClr val="black">
                  <a:alpha val="50000"/>
                </a:prstClr>
              </a:innerShdw>
            </a:effectLst>
          </xdr:spPr>
          <xdr:txBody>
            <a:bodyPr vertOverflow="clip" horzOverflow="clip" wrap="square" lIns="18288" tIns="0" rIns="0" bIns="0" rtlCol="0" anchor="ctr" upright="1"/>
            <a:lstStyle/>
            <a:p>
              <a:pPr algn="ctr"/>
              <a:r>
                <a:rPr lang="en-GB" sz="1100" b="1">
                  <a:latin typeface="Arial" panose="020B0604020202020204" pitchFamily="34" charset="0"/>
                  <a:cs typeface="Arial" panose="020B0604020202020204" pitchFamily="34" charset="0"/>
                </a:rPr>
                <a:t>Short</a:t>
              </a:r>
            </a:p>
            <a:p>
              <a:pPr algn="ctr"/>
              <a:r>
                <a:rPr lang="en-GB" sz="1100" b="1">
                  <a:latin typeface="Arial" panose="020B0604020202020204" pitchFamily="34" charset="0"/>
                  <a:cs typeface="Arial" panose="020B0604020202020204" pitchFamily="34" charset="0"/>
                </a:rPr>
                <a:t>Keys</a:t>
              </a:r>
            </a:p>
          </xdr:txBody>
        </xdr:sp>
        <xdr:sp macro="[0]!Show_MyForm_FromButton" textlink="">
          <xdr:nvSpPr>
            <xdr:cNvPr id="36" name="ClcBox:Visualiz">
              <a:extLst>
                <a:ext uri="{FF2B5EF4-FFF2-40B4-BE49-F238E27FC236}">
                  <a16:creationId xmlns:a16="http://schemas.microsoft.com/office/drawing/2014/main" id="{00000000-0008-0000-0100-000024000000}"/>
                </a:ext>
              </a:extLst>
            </xdr:cNvPr>
            <xdr:cNvSpPr/>
          </xdr:nvSpPr>
          <xdr:spPr bwMode="auto">
            <a:xfrm>
              <a:off x="13392528" y="10182167"/>
              <a:ext cx="546686" cy="439122"/>
            </a:xfrm>
            <a:prstGeom prst="rect">
              <a:avLst/>
            </a:prstGeom>
            <a:solidFill>
              <a:srgbClr val="FFC000"/>
            </a:solidFill>
            <a:ln w="9525" cap="flat" cmpd="sng" algn="ctr">
              <a:solidFill>
                <a:sysClr val="windowText" lastClr="000000"/>
              </a:solidFill>
              <a:prstDash val="solid"/>
              <a:round/>
              <a:headEnd type="none" w="med" len="med"/>
              <a:tailEnd type="none" w="med" len="med"/>
            </a:ln>
            <a:effectLst>
              <a:innerShdw blurRad="63500" dist="50800" dir="5400000">
                <a:prstClr val="black">
                  <a:alpha val="50000"/>
                </a:prstClr>
              </a:innerShdw>
            </a:effectLst>
          </xdr:spPr>
          <xdr:txBody>
            <a:bodyPr vertOverflow="clip" horzOverflow="clip" wrap="square" lIns="18288" tIns="0" rIns="0" bIns="0" rtlCol="0" anchor="ctr" upright="1"/>
            <a:lstStyle/>
            <a:p>
              <a:pPr algn="ctr"/>
              <a:r>
                <a:rPr lang="en-GB" sz="1100" b="1">
                  <a:latin typeface="Arial" panose="020B0604020202020204" pitchFamily="34" charset="0"/>
                  <a:cs typeface="Arial" panose="020B0604020202020204" pitchFamily="34" charset="0"/>
                </a:rPr>
                <a:t>Visu</a:t>
              </a:r>
            </a:p>
            <a:p>
              <a:pPr algn="ctr"/>
              <a:r>
                <a:rPr lang="en-GB" sz="1100" b="1">
                  <a:latin typeface="Arial" panose="020B0604020202020204" pitchFamily="34" charset="0"/>
                  <a:cs typeface="Arial" panose="020B0604020202020204" pitchFamily="34" charset="0"/>
                </a:rPr>
                <a:t>form</a:t>
              </a:r>
            </a:p>
          </xdr:txBody>
        </xdr:sp>
        <xdr:sp macro="[0]!Show_MyForm_FromButton" textlink="">
          <xdr:nvSpPr>
            <xdr:cNvPr id="37" name="ClcBox:Load">
              <a:extLst>
                <a:ext uri="{FF2B5EF4-FFF2-40B4-BE49-F238E27FC236}">
                  <a16:creationId xmlns:a16="http://schemas.microsoft.com/office/drawing/2014/main" id="{00000000-0008-0000-0100-000025000000}"/>
                </a:ext>
              </a:extLst>
            </xdr:cNvPr>
            <xdr:cNvSpPr/>
          </xdr:nvSpPr>
          <xdr:spPr bwMode="auto">
            <a:xfrm>
              <a:off x="14827589" y="10181244"/>
              <a:ext cx="546686" cy="440964"/>
            </a:xfrm>
            <a:prstGeom prst="rect">
              <a:avLst/>
            </a:prstGeom>
            <a:solidFill>
              <a:schemeClr val="tx2">
                <a:lumMod val="40000"/>
                <a:lumOff val="60000"/>
              </a:schemeClr>
            </a:solidFill>
            <a:ln w="9525" cap="flat" cmpd="sng" algn="ctr">
              <a:solidFill>
                <a:sysClr val="windowText" lastClr="000000"/>
              </a:solidFill>
              <a:prstDash val="solid"/>
              <a:round/>
              <a:headEnd type="none" w="med" len="med"/>
              <a:tailEnd type="none" w="med" len="med"/>
            </a:ln>
            <a:effectLst>
              <a:innerShdw blurRad="63500" dist="50800" dir="5400000">
                <a:prstClr val="black">
                  <a:alpha val="50000"/>
                </a:prstClr>
              </a:innerShdw>
            </a:effectLst>
          </xdr:spPr>
          <xdr:txBody>
            <a:bodyPr vertOverflow="clip" horzOverflow="clip" wrap="square" lIns="18288" tIns="0" rIns="0" bIns="0" rtlCol="0" anchor="ctr" upright="1"/>
            <a:lstStyle/>
            <a:p>
              <a:pPr algn="ctr"/>
              <a:r>
                <a:rPr lang="en-GB" sz="1100" b="1">
                  <a:latin typeface="Arial" panose="020B0604020202020204" pitchFamily="34" charset="0"/>
                  <a:cs typeface="Arial" panose="020B0604020202020204" pitchFamily="34" charset="0"/>
                </a:rPr>
                <a:t>LOAD</a:t>
              </a:r>
            </a:p>
          </xdr:txBody>
        </xdr:sp>
        <xdr:sp macro="[0]!Show_MyForm_FromButton" textlink="">
          <xdr:nvSpPr>
            <xdr:cNvPr id="38" name="ClcBox:Welcome">
              <a:extLst>
                <a:ext uri="{FF2B5EF4-FFF2-40B4-BE49-F238E27FC236}">
                  <a16:creationId xmlns:a16="http://schemas.microsoft.com/office/drawing/2014/main" id="{00000000-0008-0000-0100-000026000000}"/>
                </a:ext>
              </a:extLst>
            </xdr:cNvPr>
            <xdr:cNvSpPr/>
          </xdr:nvSpPr>
          <xdr:spPr bwMode="auto">
            <a:xfrm>
              <a:off x="11953021" y="10182167"/>
              <a:ext cx="546686" cy="439122"/>
            </a:xfrm>
            <a:prstGeom prst="rect">
              <a:avLst/>
            </a:prstGeom>
            <a:solidFill>
              <a:schemeClr val="bg1">
                <a:lumMod val="85000"/>
              </a:schemeClr>
            </a:solidFill>
            <a:ln w="9525" cap="flat" cmpd="sng" algn="ctr">
              <a:solidFill>
                <a:sysClr val="windowText" lastClr="000000"/>
              </a:solidFill>
              <a:prstDash val="solid"/>
              <a:round/>
              <a:headEnd type="none" w="med" len="med"/>
              <a:tailEnd type="none" w="med" len="med"/>
            </a:ln>
            <a:effectLst>
              <a:innerShdw blurRad="63500" dist="50800" dir="5400000">
                <a:prstClr val="black">
                  <a:alpha val="50000"/>
                </a:prstClr>
              </a:innerShdw>
            </a:effectLst>
          </xdr:spPr>
          <xdr:txBody>
            <a:bodyPr vertOverflow="clip" horzOverflow="clip" wrap="square" lIns="18288" tIns="0" rIns="0" bIns="0" rtlCol="0" anchor="ctr" upright="1"/>
            <a:lstStyle/>
            <a:p>
              <a:pPr marL="0" indent="0" algn="ctr"/>
              <a:r>
                <a:rPr lang="en-GB" sz="1100" b="1">
                  <a:latin typeface="Arial" panose="020B0604020202020204" pitchFamily="34" charset="0"/>
                  <a:ea typeface="+mn-ea"/>
                  <a:cs typeface="Arial" panose="020B0604020202020204" pitchFamily="34" charset="0"/>
                </a:rPr>
                <a:t>Wel</a:t>
              </a:r>
            </a:p>
            <a:p>
              <a:pPr marL="0" indent="0" algn="ctr"/>
              <a:r>
                <a:rPr lang="en-GB" sz="1100" b="1">
                  <a:latin typeface="Arial" panose="020B0604020202020204" pitchFamily="34" charset="0"/>
                  <a:ea typeface="+mn-ea"/>
                  <a:cs typeface="Arial" panose="020B0604020202020204" pitchFamily="34" charset="0"/>
                </a:rPr>
                <a:t>come</a:t>
              </a:r>
            </a:p>
          </xdr:txBody>
        </xdr:sp>
        <xdr:sp macro="[0]!Show_MyForm_FromButton" textlink="">
          <xdr:nvSpPr>
            <xdr:cNvPr id="39" name="ClcBox:Error">
              <a:extLst>
                <a:ext uri="{FF2B5EF4-FFF2-40B4-BE49-F238E27FC236}">
                  <a16:creationId xmlns:a16="http://schemas.microsoft.com/office/drawing/2014/main" id="{00000000-0008-0000-0100-000027000000}"/>
                </a:ext>
              </a:extLst>
            </xdr:cNvPr>
            <xdr:cNvSpPr/>
          </xdr:nvSpPr>
          <xdr:spPr bwMode="auto">
            <a:xfrm>
              <a:off x="14112281" y="10181535"/>
              <a:ext cx="542241" cy="440386"/>
            </a:xfrm>
            <a:prstGeom prst="rect">
              <a:avLst/>
            </a:prstGeom>
            <a:solidFill>
              <a:srgbClr val="FF3300"/>
            </a:solidFill>
            <a:ln w="9525" cap="flat" cmpd="sng" algn="ctr">
              <a:solidFill>
                <a:sysClr val="windowText" lastClr="000000"/>
              </a:solidFill>
              <a:prstDash val="solid"/>
              <a:round/>
              <a:headEnd type="none" w="med" len="med"/>
              <a:tailEnd type="none" w="med" len="med"/>
            </a:ln>
            <a:effectLst>
              <a:innerShdw blurRad="63500" dist="50800" dir="5400000">
                <a:prstClr val="black">
                  <a:alpha val="50000"/>
                </a:prstClr>
              </a:innerShdw>
            </a:effectLst>
          </xdr:spPr>
          <xdr:txBody>
            <a:bodyPr vertOverflow="clip" horzOverflow="clip" wrap="square" lIns="18288" tIns="0" rIns="0" bIns="0" rtlCol="0" anchor="ctr" upright="1"/>
            <a:lstStyle/>
            <a:p>
              <a:pPr algn="ctr"/>
              <a:r>
                <a:rPr lang="en-GB" sz="1100" b="1">
                  <a:latin typeface="Arial" panose="020B0604020202020204" pitchFamily="34" charset="0"/>
                  <a:cs typeface="Arial" panose="020B0604020202020204" pitchFamily="34" charset="0"/>
                </a:rPr>
                <a:t>Error</a:t>
              </a:r>
            </a:p>
          </xdr:txBody>
        </xdr:sp>
        <xdr:sp macro="[0]!Show_MyForm_FromButton" textlink="">
          <xdr:nvSpPr>
            <xdr:cNvPr id="41" name="ClcBox:DataStructure">
              <a:extLst>
                <a:ext uri="{FF2B5EF4-FFF2-40B4-BE49-F238E27FC236}">
                  <a16:creationId xmlns:a16="http://schemas.microsoft.com/office/drawing/2014/main" id="{00000000-0008-0000-0100-000029000000}"/>
                </a:ext>
              </a:extLst>
            </xdr:cNvPr>
            <xdr:cNvSpPr/>
          </xdr:nvSpPr>
          <xdr:spPr bwMode="auto">
            <a:xfrm>
              <a:off x="12672775" y="10182167"/>
              <a:ext cx="546686" cy="439122"/>
            </a:xfrm>
            <a:prstGeom prst="rect">
              <a:avLst/>
            </a:prstGeom>
            <a:solidFill>
              <a:srgbClr val="FFC000"/>
            </a:solidFill>
            <a:ln w="9525" cap="flat" cmpd="sng" algn="ctr">
              <a:solidFill>
                <a:sysClr val="windowText" lastClr="000000"/>
              </a:solidFill>
              <a:prstDash val="solid"/>
              <a:round/>
              <a:headEnd type="none" w="med" len="med"/>
              <a:tailEnd type="none" w="med" len="med"/>
            </a:ln>
            <a:effectLst>
              <a:innerShdw blurRad="63500" dist="50800" dir="5400000">
                <a:prstClr val="black">
                  <a:alpha val="50000"/>
                </a:prstClr>
              </a:innerShdw>
            </a:effectLst>
          </xdr:spPr>
          <xdr:txBody>
            <a:bodyPr vertOverflow="clip" horzOverflow="clip" wrap="square" lIns="18288" tIns="0" rIns="0" bIns="0" rtlCol="0" anchor="ctr" upright="1"/>
            <a:lstStyle/>
            <a:p>
              <a:pPr marL="0" indent="0" algn="ctr"/>
              <a:r>
                <a:rPr lang="en-GB" sz="1100" b="1">
                  <a:latin typeface="Arial" panose="020B0604020202020204" pitchFamily="34" charset="0"/>
                  <a:ea typeface="+mn-ea"/>
                  <a:cs typeface="Arial" panose="020B0604020202020204" pitchFamily="34" charset="0"/>
                </a:rPr>
                <a:t>Data</a:t>
              </a:r>
              <a:br>
                <a:rPr lang="en-GB" sz="1100" b="1">
                  <a:latin typeface="Arial" panose="020B0604020202020204" pitchFamily="34" charset="0"/>
                  <a:ea typeface="+mn-ea"/>
                  <a:cs typeface="Arial" panose="020B0604020202020204" pitchFamily="34" charset="0"/>
                </a:rPr>
              </a:br>
              <a:r>
                <a:rPr lang="en-GB" sz="1100" b="1">
                  <a:latin typeface="Arial" panose="020B0604020202020204" pitchFamily="34" charset="0"/>
                  <a:ea typeface="+mn-ea"/>
                  <a:cs typeface="Arial" panose="020B0604020202020204" pitchFamily="34" charset="0"/>
                </a:rPr>
                <a:t>Struc</a:t>
              </a:r>
            </a:p>
          </xdr:txBody>
        </xdr:sp>
      </xdr:grpSp>
    </xdr:grpSp>
    <xdr:clientData/>
  </xdr:twoCellAnchor>
  <xdr:twoCellAnchor editAs="absolute">
    <xdr:from>
      <xdr:col>17</xdr:col>
      <xdr:colOff>331753</xdr:colOff>
      <xdr:row>4</xdr:row>
      <xdr:rowOff>16847</xdr:rowOff>
    </xdr:from>
    <xdr:to>
      <xdr:col>28</xdr:col>
      <xdr:colOff>378023</xdr:colOff>
      <xdr:row>44</xdr:row>
      <xdr:rowOff>89736</xdr:rowOff>
    </xdr:to>
    <xdr:graphicFrame macro="">
      <xdr:nvGraphicFramePr>
        <xdr:cNvPr id="44" name="Chart238">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32</xdr:col>
      <xdr:colOff>179887</xdr:colOff>
      <xdr:row>104</xdr:row>
      <xdr:rowOff>46650</xdr:rowOff>
    </xdr:from>
    <xdr:to>
      <xdr:col>49</xdr:col>
      <xdr:colOff>187354</xdr:colOff>
      <xdr:row>142</xdr:row>
      <xdr:rowOff>90082</xdr:rowOff>
    </xdr:to>
    <xdr:graphicFrame macro="">
      <xdr:nvGraphicFramePr>
        <xdr:cNvPr id="46" name="Chart238">
          <a:extLst>
            <a:ext uri="{FF2B5EF4-FFF2-40B4-BE49-F238E27FC236}">
              <a16:creationId xmlns:a16="http://schemas.microsoft.com/office/drawing/2014/main" id="{00000000-0008-0000-01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374276</xdr:colOff>
      <xdr:row>126</xdr:row>
      <xdr:rowOff>120864</xdr:rowOff>
    </xdr:from>
    <xdr:to>
      <xdr:col>32</xdr:col>
      <xdr:colOff>356826</xdr:colOff>
      <xdr:row>146</xdr:row>
      <xdr:rowOff>138793</xdr:rowOff>
    </xdr:to>
    <xdr:graphicFrame macro="">
      <xdr:nvGraphicFramePr>
        <xdr:cNvPr id="4" name="Diagram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459120</xdr:colOff>
      <xdr:row>315</xdr:row>
      <xdr:rowOff>43863</xdr:rowOff>
    </xdr:from>
    <xdr:to>
      <xdr:col>17</xdr:col>
      <xdr:colOff>306720</xdr:colOff>
      <xdr:row>329</xdr:row>
      <xdr:rowOff>153681</xdr:rowOff>
    </xdr:to>
    <xdr:graphicFrame macro="">
      <xdr:nvGraphicFramePr>
        <xdr:cNvPr id="5" name="Diagramm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40</xdr:col>
      <xdr:colOff>436337</xdr:colOff>
      <xdr:row>3</xdr:row>
      <xdr:rowOff>44451</xdr:rowOff>
    </xdr:from>
    <xdr:to>
      <xdr:col>46</xdr:col>
      <xdr:colOff>398689</xdr:colOff>
      <xdr:row>25</xdr:row>
      <xdr:rowOff>0</xdr:rowOff>
    </xdr:to>
    <xdr:graphicFrame macro="">
      <xdr:nvGraphicFramePr>
        <xdr:cNvPr id="7" name="Diagram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408214</xdr:colOff>
      <xdr:row>155</xdr:row>
      <xdr:rowOff>90714</xdr:rowOff>
    </xdr:from>
    <xdr:to>
      <xdr:col>32</xdr:col>
      <xdr:colOff>625928</xdr:colOff>
      <xdr:row>178</xdr:row>
      <xdr:rowOff>69849</xdr:rowOff>
    </xdr:to>
    <xdr:graphicFrame macro="">
      <xdr:nvGraphicFramePr>
        <xdr:cNvPr id="9" name="Diagramm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58964</xdr:colOff>
      <xdr:row>315</xdr:row>
      <xdr:rowOff>75294</xdr:rowOff>
    </xdr:from>
    <xdr:to>
      <xdr:col>24</xdr:col>
      <xdr:colOff>267607</xdr:colOff>
      <xdr:row>329</xdr:row>
      <xdr:rowOff>151494</xdr:rowOff>
    </xdr:to>
    <xdr:graphicFrame macro="">
      <xdr:nvGraphicFramePr>
        <xdr:cNvPr id="8" name="Diagramm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244929</xdr:colOff>
      <xdr:row>274</xdr:row>
      <xdr:rowOff>176893</xdr:rowOff>
    </xdr:from>
    <xdr:to>
      <xdr:col>35</xdr:col>
      <xdr:colOff>231322</xdr:colOff>
      <xdr:row>294</xdr:row>
      <xdr:rowOff>24493</xdr:rowOff>
    </xdr:to>
    <xdr:graphicFrame macro="">
      <xdr:nvGraphicFramePr>
        <xdr:cNvPr id="11" name="Diagramm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639536</xdr:colOff>
      <xdr:row>120</xdr:row>
      <xdr:rowOff>136072</xdr:rowOff>
    </xdr:from>
    <xdr:to>
      <xdr:col>25</xdr:col>
      <xdr:colOff>381000</xdr:colOff>
      <xdr:row>135</xdr:row>
      <xdr:rowOff>21772</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707572</xdr:colOff>
      <xdr:row>159</xdr:row>
      <xdr:rowOff>29936</xdr:rowOff>
    </xdr:from>
    <xdr:to>
      <xdr:col>19</xdr:col>
      <xdr:colOff>544286</xdr:colOff>
      <xdr:row>173</xdr:row>
      <xdr:rowOff>106136</xdr:rowOff>
    </xdr:to>
    <xdr:graphicFrame macro="">
      <xdr:nvGraphicFramePr>
        <xdr:cNvPr id="6" name="Diagram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0.77877</cdr:x>
      <cdr:y>0.01578</cdr:y>
    </cdr:from>
    <cdr:to>
      <cdr:x>0.97689</cdr:x>
      <cdr:y>0.09572</cdr:y>
    </cdr:to>
    <cdr:sp macro="" textlink="">
      <cdr:nvSpPr>
        <cdr:cNvPr id="2" name="TextBox 1"/>
        <cdr:cNvSpPr txBox="1"/>
      </cdr:nvSpPr>
      <cdr:spPr>
        <a:xfrm xmlns:a="http://schemas.openxmlformats.org/drawingml/2006/main">
          <a:off x="9885763" y="127857"/>
          <a:ext cx="2514955" cy="647446"/>
        </a:xfrm>
        <a:prstGeom xmlns:a="http://schemas.openxmlformats.org/drawingml/2006/main" prst="rect">
          <a:avLst/>
        </a:prstGeom>
        <a:solidFill xmlns:a="http://schemas.openxmlformats.org/drawingml/2006/main">
          <a:sysClr val="window" lastClr="FFFFFF"/>
        </a:solidFill>
        <a:ln xmlns:a="http://schemas.openxmlformats.org/drawingml/2006/main">
          <a:solidFill>
            <a:sysClr val="windowText" lastClr="000000"/>
          </a:solidFill>
        </a:ln>
      </cdr:spPr>
      <cdr:txBody>
        <a:bodyPr xmlns:a="http://schemas.openxmlformats.org/drawingml/2006/main" vertOverflow="clip" wrap="square" rtlCol="0" anchor="ctr"/>
        <a:lstStyle xmlns:a="http://schemas.openxmlformats.org/drawingml/2006/main"/>
        <a:p xmlns:a="http://schemas.openxmlformats.org/drawingml/2006/main">
          <a:pPr algn="ctr"/>
          <a:r>
            <a:rPr lang="en-GB" sz="2000" b="1"/>
            <a:t>Background</a:t>
          </a:r>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26</xdr:col>
      <xdr:colOff>0</xdr:colOff>
      <xdr:row>298</xdr:row>
      <xdr:rowOff>57150</xdr:rowOff>
    </xdr:from>
    <xdr:to>
      <xdr:col>46</xdr:col>
      <xdr:colOff>394335</xdr:colOff>
      <xdr:row>309</xdr:row>
      <xdr:rowOff>104775</xdr:rowOff>
    </xdr:to>
    <xdr:sp macro="" textlink="">
      <xdr:nvSpPr>
        <xdr:cNvPr id="2" name="Tb2TextWh">
          <a:extLst>
            <a:ext uri="{FF2B5EF4-FFF2-40B4-BE49-F238E27FC236}">
              <a16:creationId xmlns:a16="http://schemas.microsoft.com/office/drawing/2014/main" id="{00000000-0008-0000-0200-000002000000}"/>
            </a:ext>
          </a:extLst>
        </xdr:cNvPr>
        <xdr:cNvSpPr txBox="1"/>
      </xdr:nvSpPr>
      <xdr:spPr>
        <a:xfrm>
          <a:off x="14420850" y="76609575"/>
          <a:ext cx="11062335" cy="1828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defTabSz="360000"/>
          <a:r>
            <a:rPr lang="es-ES" sz="1050" baseline="30000">
              <a:latin typeface="Arial" panose="020B0604020202020204" pitchFamily="34" charset="0"/>
              <a:cs typeface="Arial" panose="020B0604020202020204" pitchFamily="34" charset="0"/>
            </a:rPr>
            <a:t>     a</a:t>
          </a:r>
          <a:r>
            <a:rPr lang="es-ES" sz="1050">
              <a:latin typeface="Arial" panose="020B0604020202020204" pitchFamily="34" charset="0"/>
              <a:cs typeface="Arial" panose="020B0604020202020204" pitchFamily="34" charset="0"/>
            </a:rPr>
            <a:t> Within run background-corrected mean </a:t>
          </a:r>
          <a:r>
            <a:rPr lang="es-ES" sz="1050" baseline="30000">
              <a:solidFill>
                <a:schemeClr val="dk1"/>
              </a:solidFill>
              <a:effectLst/>
              <a:latin typeface="Arial" panose="020B0604020202020204" pitchFamily="34" charset="0"/>
              <a:ea typeface="+mn-ea"/>
              <a:cs typeface="Arial" panose="020B0604020202020204" pitchFamily="34" charset="0"/>
            </a:rPr>
            <a:t>207</a:t>
          </a:r>
          <a:r>
            <a:rPr lang="es-ES" sz="1050">
              <a:latin typeface="Arial" panose="020B0604020202020204" pitchFamily="34" charset="0"/>
              <a:cs typeface="Arial" panose="020B0604020202020204" pitchFamily="34" charset="0"/>
            </a:rPr>
            <a:t>Pb signal in cps (counts per second).</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b</a:t>
          </a:r>
          <a:r>
            <a:rPr lang="es-ES" sz="1050">
              <a:latin typeface="Arial" panose="020B0604020202020204" pitchFamily="34" charset="0"/>
              <a:cs typeface="Arial" panose="020B0604020202020204" pitchFamily="34" charset="0"/>
            </a:rPr>
            <a:t> U and Pb concentrations and Th/U ratio were calculated relative to the primary reference material.</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c</a:t>
          </a:r>
          <a:r>
            <a:rPr lang="es-ES" sz="1050">
              <a:latin typeface="Arial" panose="020B0604020202020204" pitchFamily="34" charset="0"/>
              <a:cs typeface="Arial" panose="020B0604020202020204" pitchFamily="34" charset="0"/>
            </a:rPr>
            <a:t> Percentage of common Pb on </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a:latin typeface="Arial" panose="020B0604020202020204" pitchFamily="34" charset="0"/>
              <a:cs typeface="Arial" panose="020B0604020202020204" pitchFamily="34" charset="0"/>
            </a:rPr>
            <a:t>b.d. = below dectection limit).</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d</a:t>
          </a:r>
          <a:r>
            <a:rPr lang="es-ES" sz="1050">
              <a:latin typeface="Arial" panose="020B0604020202020204" pitchFamily="34" charset="0"/>
              <a:cs typeface="Arial" panose="020B0604020202020204" pitchFamily="34" charset="0"/>
            </a:rPr>
            <a:t> Corrected for background, within-run Pb/U fractionation (in case of</a:t>
          </a:r>
          <a:r>
            <a:rPr lang="es-ES" sz="1050">
              <a:solidFill>
                <a:schemeClr val="dk1"/>
              </a:solidFill>
              <a:effectLst/>
              <a:latin typeface="Arial" panose="020B0604020202020204" pitchFamily="34" charset="0"/>
              <a:ea typeface="+mn-ea"/>
              <a:cs typeface="Arial" panose="020B0604020202020204" pitchFamily="34" charset="0"/>
            </a:rPr>
            <a:t> </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30000">
              <a:solidFill>
                <a:schemeClr val="dk1"/>
              </a:solidFill>
              <a:effectLst/>
              <a:latin typeface="Arial" panose="020B0604020202020204" pitchFamily="34" charset="0"/>
              <a:ea typeface="+mn-ea"/>
              <a:cs typeface="Arial" panose="020B0604020202020204" pitchFamily="34" charset="0"/>
            </a:rPr>
            <a:t>238</a:t>
          </a:r>
          <a:r>
            <a:rPr lang="es-ES" sz="1050">
              <a:solidFill>
                <a:schemeClr val="dk1"/>
              </a:solidFill>
              <a:effectLst/>
              <a:latin typeface="Arial" panose="020B0604020202020204" pitchFamily="34" charset="0"/>
              <a:ea typeface="+mn-ea"/>
              <a:cs typeface="Arial" panose="020B0604020202020204" pitchFamily="34" charset="0"/>
            </a:rPr>
            <a:t>U</a:t>
          </a:r>
          <a:r>
            <a:rPr lang="es-ES" sz="1050">
              <a:latin typeface="Arial" panose="020B0604020202020204" pitchFamily="34" charset="0"/>
              <a:cs typeface="Arial" panose="020B0604020202020204" pitchFamily="34" charset="0"/>
            </a:rPr>
            <a:t>) and common Pb using Stacy and Kramers (1975) model Pb composition and subsequently normalised to the primary reference material (ID-TIMS</a:t>
          </a:r>
          <a:r>
            <a:rPr lang="es-ES" sz="1050" baseline="0">
              <a:latin typeface="Arial" panose="020B0604020202020204" pitchFamily="34" charset="0"/>
              <a:cs typeface="Arial" panose="020B0604020202020204" pitchFamily="34" charset="0"/>
            </a:rPr>
            <a:t> </a:t>
          </a:r>
          <a:r>
            <a:rPr lang="es-ES" sz="1050">
              <a:latin typeface="Arial" panose="020B0604020202020204" pitchFamily="34" charset="0"/>
              <a:cs typeface="Arial" panose="020B0604020202020204" pitchFamily="34" charset="0"/>
            </a:rPr>
            <a:t>value/measured value); </a:t>
          </a:r>
          <a:r>
            <a:rPr lang="es-ES" sz="1050" baseline="30000">
              <a:solidFill>
                <a:schemeClr val="dk1"/>
              </a:solidFill>
              <a:effectLst/>
              <a:latin typeface="Arial" panose="020B0604020202020204" pitchFamily="34" charset="0"/>
              <a:ea typeface="+mn-ea"/>
              <a:cs typeface="Arial" panose="020B0604020202020204" pitchFamily="34" charset="0"/>
            </a:rPr>
            <a:t>207</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30000">
              <a:solidFill>
                <a:schemeClr val="dk1"/>
              </a:solidFill>
              <a:effectLst/>
              <a:latin typeface="Arial" panose="020B0604020202020204" pitchFamily="34" charset="0"/>
              <a:ea typeface="+mn-ea"/>
              <a:cs typeface="Arial" panose="020B0604020202020204" pitchFamily="34" charset="0"/>
            </a:rPr>
            <a:t>235</a:t>
          </a:r>
          <a:r>
            <a:rPr lang="es-ES" sz="1050">
              <a:solidFill>
                <a:schemeClr val="dk1"/>
              </a:solidFill>
              <a:effectLst/>
              <a:latin typeface="Arial" panose="020B0604020202020204" pitchFamily="34" charset="0"/>
              <a:ea typeface="+mn-ea"/>
              <a:cs typeface="Arial" panose="020B0604020202020204" pitchFamily="34" charset="0"/>
            </a:rPr>
            <a:t>U</a:t>
          </a:r>
          <a:r>
            <a:rPr lang="es-ES" sz="1050">
              <a:latin typeface="Arial" panose="020B0604020202020204" pitchFamily="34" charset="0"/>
              <a:cs typeface="Arial" panose="020B0604020202020204" pitchFamily="34" charset="0"/>
            </a:rPr>
            <a:t> calculated using </a:t>
          </a:r>
          <a:r>
            <a:rPr lang="es-ES" sz="1050">
              <a:solidFill>
                <a:schemeClr val="dk1"/>
              </a:solidFill>
              <a:effectLst/>
              <a:latin typeface="Arial" panose="020B0604020202020204" pitchFamily="34" charset="0"/>
              <a:ea typeface="+mn-ea"/>
              <a:cs typeface="Arial" panose="020B0604020202020204" pitchFamily="34" charset="0"/>
            </a:rPr>
            <a:t> </a:t>
          </a:r>
          <a:r>
            <a:rPr lang="es-ES" sz="1050" baseline="30000">
              <a:solidFill>
                <a:schemeClr val="dk1"/>
              </a:solidFill>
              <a:effectLst/>
              <a:latin typeface="Arial" panose="020B0604020202020204" pitchFamily="34" charset="0"/>
              <a:ea typeface="+mn-ea"/>
              <a:cs typeface="Arial" panose="020B0604020202020204" pitchFamily="34" charset="0"/>
            </a:rPr>
            <a:t>207</a:t>
          </a:r>
          <a:r>
            <a:rPr lang="es-ES" sz="1050">
              <a:solidFill>
                <a:schemeClr val="dk1"/>
              </a:solidFill>
              <a:effectLst/>
              <a:latin typeface="Arial" panose="020B0604020202020204" pitchFamily="34" charset="0"/>
              <a:ea typeface="+mn-ea"/>
              <a:cs typeface="Arial" panose="020B0604020202020204" pitchFamily="34" charset="0"/>
            </a:rPr>
            <a:t>Pb</a:t>
          </a:r>
          <a:r>
            <a:rPr lang="es-ES" sz="1050">
              <a:latin typeface="Arial" panose="020B0604020202020204" pitchFamily="34" charset="0"/>
              <a:cs typeface="Arial" panose="020B0604020202020204" pitchFamily="34" charset="0"/>
            </a:rPr>
            <a:t>/</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 </a:t>
          </a:r>
          <a:r>
            <a:rPr lang="es-ES" sz="1050">
              <a:latin typeface="Arial" panose="020B0604020202020204" pitchFamily="34" charset="0"/>
              <a:cs typeface="Arial" panose="020B0604020202020204" pitchFamily="34" charset="0"/>
            </a:rPr>
            <a:t>/ (</a:t>
          </a:r>
          <a:r>
            <a:rPr lang="es-ES" sz="1050" baseline="30000">
              <a:latin typeface="Arial" panose="020B0604020202020204" pitchFamily="34" charset="0"/>
              <a:cs typeface="Arial" panose="020B0604020202020204" pitchFamily="34" charset="0"/>
            </a:rPr>
            <a:t>238</a:t>
          </a:r>
          <a:r>
            <a:rPr lang="es-ES" sz="1050">
              <a:latin typeface="Arial" panose="020B0604020202020204" pitchFamily="34" charset="0"/>
              <a:cs typeface="Arial" panose="020B0604020202020204" pitchFamily="34" charset="0"/>
            </a:rPr>
            <a:t>U/</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 </a:t>
          </a:r>
          <a:r>
            <a:rPr lang="es-ES" sz="1050">
              <a:latin typeface="Arial" panose="020B0604020202020204" pitchFamily="34" charset="0"/>
              <a:cs typeface="Arial" panose="020B0604020202020204" pitchFamily="34" charset="0"/>
            </a:rPr>
            <a:t>* 1/137.84).</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e </a:t>
          </a:r>
          <a:r>
            <a:rPr lang="es-ES" sz="1050">
              <a:latin typeface="Arial" panose="020B0604020202020204" pitchFamily="34" charset="0"/>
              <a:cs typeface="Arial" panose="020B0604020202020204" pitchFamily="34" charset="0"/>
            </a:rPr>
            <a:t>Rho is the </a:t>
          </a:r>
          <a:r>
            <a:rPr lang="es-ES" sz="1050">
              <a:solidFill>
                <a:schemeClr val="dk1"/>
              </a:solidFill>
              <a:effectLst/>
              <a:latin typeface="Arial" panose="020B0604020202020204" pitchFamily="34" charset="0"/>
              <a:ea typeface="+mn-ea"/>
              <a:cs typeface="Arial" panose="020B0604020202020204" pitchFamily="34" charset="0"/>
            </a:rPr>
            <a:t> </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30000">
              <a:solidFill>
                <a:schemeClr val="dk1"/>
              </a:solidFill>
              <a:effectLst/>
              <a:latin typeface="Arial" panose="020B0604020202020204" pitchFamily="34" charset="0"/>
              <a:ea typeface="+mn-ea"/>
              <a:cs typeface="Arial" panose="020B0604020202020204" pitchFamily="34" charset="0"/>
            </a:rPr>
            <a:t>238</a:t>
          </a:r>
          <a:r>
            <a:rPr lang="es-ES" sz="1050">
              <a:solidFill>
                <a:schemeClr val="dk1"/>
              </a:solidFill>
              <a:effectLst/>
              <a:latin typeface="Arial" panose="020B0604020202020204" pitchFamily="34" charset="0"/>
              <a:ea typeface="+mn-ea"/>
              <a:cs typeface="Arial" panose="020B0604020202020204" pitchFamily="34" charset="0"/>
            </a:rPr>
            <a:t>U -</a:t>
          </a:r>
          <a:r>
            <a:rPr lang="es-ES" sz="1050">
              <a:latin typeface="Arial" panose="020B0604020202020204" pitchFamily="34" charset="0"/>
              <a:cs typeface="Arial" panose="020B0604020202020204" pitchFamily="34" charset="0"/>
            </a:rPr>
            <a:t> </a:t>
          </a:r>
          <a:r>
            <a:rPr lang="es-ES" sz="1050" baseline="30000">
              <a:solidFill>
                <a:schemeClr val="dk1"/>
              </a:solidFill>
              <a:effectLst/>
              <a:latin typeface="Arial" panose="020B0604020202020204" pitchFamily="34" charset="0"/>
              <a:ea typeface="+mn-ea"/>
              <a:cs typeface="Arial" panose="020B0604020202020204" pitchFamily="34" charset="0"/>
            </a:rPr>
            <a:t>207</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30000">
              <a:solidFill>
                <a:schemeClr val="dk1"/>
              </a:solidFill>
              <a:effectLst/>
              <a:latin typeface="Arial" panose="020B0604020202020204" pitchFamily="34" charset="0"/>
              <a:ea typeface="+mn-ea"/>
              <a:cs typeface="Arial" panose="020B0604020202020204" pitchFamily="34" charset="0"/>
            </a:rPr>
            <a:t>235</a:t>
          </a:r>
          <a:r>
            <a:rPr lang="es-ES" sz="1050">
              <a:solidFill>
                <a:schemeClr val="dk1"/>
              </a:solidFill>
              <a:effectLst/>
              <a:latin typeface="Arial" panose="020B0604020202020204" pitchFamily="34" charset="0"/>
              <a:ea typeface="+mn-ea"/>
              <a:cs typeface="Arial" panose="020B0604020202020204" pitchFamily="34" charset="0"/>
            </a:rPr>
            <a:t>U</a:t>
          </a:r>
          <a:r>
            <a:rPr lang="es-ES" sz="1050">
              <a:latin typeface="Arial" panose="020B0604020202020204" pitchFamily="34" charset="0"/>
              <a:cs typeface="Arial" panose="020B0604020202020204" pitchFamily="34" charset="0"/>
            </a:rPr>
            <a:t> uncertainty correlation coefficient.</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f</a:t>
          </a:r>
          <a:r>
            <a:rPr lang="es-ES" sz="1050" baseline="0">
              <a:solidFill>
                <a:schemeClr val="dk1"/>
              </a:solidFill>
              <a:latin typeface="Arial" panose="020B0604020202020204" pitchFamily="34" charset="0"/>
              <a:ea typeface="+mn-ea"/>
              <a:cs typeface="Arial" panose="020B0604020202020204" pitchFamily="34" charset="0"/>
            </a:rPr>
            <a:t> D</a:t>
          </a:r>
          <a:r>
            <a:rPr lang="es-ES" sz="1050">
              <a:latin typeface="Arial" panose="020B0604020202020204" pitchFamily="34" charset="0"/>
              <a:cs typeface="Arial" panose="020B0604020202020204" pitchFamily="34" charset="0"/>
            </a:rPr>
            <a:t>egree of concordance =  </a:t>
          </a:r>
          <a:r>
            <a:rPr lang="es-ES" sz="1050">
              <a:solidFill>
                <a:schemeClr val="dk1"/>
              </a:solidFill>
              <a:effectLst/>
              <a:latin typeface="Arial" panose="020B0604020202020204" pitchFamily="34" charset="0"/>
              <a:ea typeface="+mn-ea"/>
              <a:cs typeface="Arial" panose="020B0604020202020204" pitchFamily="34" charset="0"/>
            </a:rPr>
            <a:t> </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30000">
              <a:solidFill>
                <a:schemeClr val="dk1"/>
              </a:solidFill>
              <a:effectLst/>
              <a:latin typeface="Arial" panose="020B0604020202020204" pitchFamily="34" charset="0"/>
              <a:ea typeface="+mn-ea"/>
              <a:cs typeface="Arial" panose="020B0604020202020204" pitchFamily="34" charset="0"/>
            </a:rPr>
            <a:t>238</a:t>
          </a:r>
          <a:r>
            <a:rPr lang="es-ES" sz="1050">
              <a:solidFill>
                <a:schemeClr val="dk1"/>
              </a:solidFill>
              <a:effectLst/>
              <a:latin typeface="Arial" panose="020B0604020202020204" pitchFamily="34" charset="0"/>
              <a:ea typeface="+mn-ea"/>
              <a:cs typeface="Arial" panose="020B0604020202020204" pitchFamily="34" charset="0"/>
            </a:rPr>
            <a:t>U</a:t>
          </a:r>
          <a:r>
            <a:rPr lang="es-ES" sz="1050">
              <a:latin typeface="Arial" panose="020B0604020202020204" pitchFamily="34" charset="0"/>
              <a:cs typeface="Arial" panose="020B0604020202020204" pitchFamily="34" charset="0"/>
            </a:rPr>
            <a:t> age ÷ </a:t>
          </a:r>
          <a:r>
            <a:rPr lang="es-ES" sz="1050" baseline="30000">
              <a:solidFill>
                <a:schemeClr val="dk1"/>
              </a:solidFill>
              <a:effectLst/>
              <a:latin typeface="Arial" panose="020B0604020202020204" pitchFamily="34" charset="0"/>
              <a:ea typeface="+mn-ea"/>
              <a:cs typeface="Arial" panose="020B0604020202020204" pitchFamily="34" charset="0"/>
            </a:rPr>
            <a:t>207</a:t>
          </a:r>
          <a:r>
            <a:rPr lang="es-ES" sz="1050">
              <a:solidFill>
                <a:schemeClr val="dk1"/>
              </a:solidFill>
              <a:effectLst/>
              <a:latin typeface="Arial" panose="020B0604020202020204" pitchFamily="34" charset="0"/>
              <a:ea typeface="+mn-ea"/>
              <a:cs typeface="Arial" panose="020B0604020202020204" pitchFamily="34" charset="0"/>
            </a:rPr>
            <a:t>Pb</a:t>
          </a:r>
          <a:r>
            <a:rPr lang="es-ES" sz="1050">
              <a:latin typeface="Arial" panose="020B0604020202020204" pitchFamily="34" charset="0"/>
              <a:cs typeface="Arial" panose="020B0604020202020204" pitchFamily="34" charset="0"/>
            </a:rPr>
            <a:t>/</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a:t>
          </a:r>
          <a:r>
            <a:rPr lang="es-ES" sz="1050">
              <a:latin typeface="Arial" panose="020B0604020202020204" pitchFamily="34" charset="0"/>
              <a:cs typeface="Arial" panose="020B0604020202020204" pitchFamily="34" charset="0"/>
            </a:rPr>
            <a:t> age x 100.</a:t>
          </a:r>
        </a:p>
        <a:p>
          <a:pPr marL="0" marR="0" lvl="0" indent="0" algn="just" defTabSz="360000" eaLnBrk="1" fontAlgn="auto" latinLnBrk="0" hangingPunct="1">
            <a:lnSpc>
              <a:spcPct val="100000"/>
            </a:lnSpc>
            <a:spcBef>
              <a:spcPts val="0"/>
            </a:spcBef>
            <a:spcAft>
              <a:spcPts val="0"/>
            </a:spcAft>
            <a:buClrTx/>
            <a:buSzTx/>
            <a:buFontTx/>
            <a:buNone/>
            <a:tabLst/>
            <a:defRPr/>
          </a:pPr>
          <a:r>
            <a:rPr lang="es-ES" sz="1050" baseline="30000">
              <a:solidFill>
                <a:schemeClr val="dk1"/>
              </a:solidFill>
              <a:effectLst/>
              <a:latin typeface="Arial" panose="020B0604020202020204" pitchFamily="34" charset="0"/>
              <a:ea typeface="+mn-ea"/>
              <a:cs typeface="Arial" panose="020B0604020202020204" pitchFamily="34" charset="0"/>
            </a:rPr>
            <a:t>     </a:t>
          </a:r>
          <a:r>
            <a:rPr lang="es-ES" sz="1050" baseline="30000">
              <a:latin typeface="Arial" panose="020B0604020202020204" pitchFamily="34" charset="0"/>
              <a:cs typeface="Arial" panose="020B0604020202020204" pitchFamily="34" charset="0"/>
            </a:rPr>
            <a:t>g</a:t>
          </a:r>
          <a:r>
            <a:rPr lang="es-ES" sz="1050" baseline="0">
              <a:latin typeface="Arial" panose="020B0604020202020204" pitchFamily="34" charset="0"/>
              <a:cs typeface="Arial" panose="020B0604020202020204" pitchFamily="34" charset="0"/>
            </a:rPr>
            <a:t> RM</a:t>
          </a:r>
          <a:r>
            <a:rPr lang="es-ES" sz="1050" baseline="-25000">
              <a:latin typeface="Arial" panose="020B0604020202020204" pitchFamily="34" charset="0"/>
              <a:cs typeface="Arial" panose="020B0604020202020204" pitchFamily="34" charset="0"/>
            </a:rPr>
            <a:t>1</a:t>
          </a:r>
          <a:r>
            <a:rPr lang="es-ES" sz="1050" baseline="0">
              <a:latin typeface="Arial" panose="020B0604020202020204" pitchFamily="34" charset="0"/>
              <a:cs typeface="Arial" panose="020B0604020202020204" pitchFamily="34" charset="0"/>
            </a:rPr>
            <a:t>: </a:t>
          </a:r>
          <a:r>
            <a:rPr kumimoji="0" lang="es-ES" sz="105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Reference material 1.</a:t>
          </a:r>
        </a:p>
        <a:p>
          <a:pPr algn="just" defTabSz="360000"/>
          <a:r>
            <a:rPr lang="es-ES" sz="1050" baseline="30000">
              <a:solidFill>
                <a:schemeClr val="dk1"/>
              </a:solidFill>
              <a:effectLst/>
              <a:latin typeface="Arial" panose="020B0604020202020204" pitchFamily="34" charset="0"/>
              <a:ea typeface="+mn-ea"/>
              <a:cs typeface="Arial" panose="020B0604020202020204" pitchFamily="34" charset="0"/>
            </a:rPr>
            <a:t>    </a:t>
          </a:r>
          <a:r>
            <a:rPr lang="es-ES" sz="1050" baseline="30000">
              <a:solidFill>
                <a:schemeClr val="dk1"/>
              </a:solidFill>
              <a:latin typeface="Arial" panose="020B0604020202020204" pitchFamily="34" charset="0"/>
              <a:ea typeface="+mn-ea"/>
              <a:cs typeface="Arial" panose="020B0604020202020204" pitchFamily="34" charset="0"/>
            </a:rPr>
            <a:t> </a:t>
          </a:r>
          <a:r>
            <a:rPr lang="es-ES" sz="1050">
              <a:latin typeface="Arial" panose="020B0604020202020204" pitchFamily="34" charset="0"/>
              <a:cs typeface="Arial" panose="020B0604020202020204" pitchFamily="34" charset="0"/>
            </a:rPr>
            <a:t>Accuracy and reproducibilty was checked by repeated analyses of secondary reference materials; data given as mean with 2 standard deviation uncertainties.</a:t>
          </a:r>
        </a:p>
      </xdr:txBody>
    </xdr:sp>
    <xdr:clientData/>
  </xdr:twoCellAnchor>
  <xdr:twoCellAnchor>
    <xdr:from>
      <xdr:col>21</xdr:col>
      <xdr:colOff>258536</xdr:colOff>
      <xdr:row>1</xdr:row>
      <xdr:rowOff>40821</xdr:rowOff>
    </xdr:from>
    <xdr:to>
      <xdr:col>23</xdr:col>
      <xdr:colOff>484413</xdr:colOff>
      <xdr:row>2</xdr:row>
      <xdr:rowOff>172812</xdr:rowOff>
    </xdr:to>
    <xdr:sp macro="[0]!Show_MyForm_FromButton" textlink="">
      <xdr:nvSpPr>
        <xdr:cNvPr id="3" name="Tb2Box:Export">
          <a:extLst>
            <a:ext uri="{FF2B5EF4-FFF2-40B4-BE49-F238E27FC236}">
              <a16:creationId xmlns:a16="http://schemas.microsoft.com/office/drawing/2014/main" id="{00000000-0008-0000-0200-000003000000}"/>
            </a:ext>
          </a:extLst>
        </xdr:cNvPr>
        <xdr:cNvSpPr/>
      </xdr:nvSpPr>
      <xdr:spPr bwMode="auto">
        <a:xfrm>
          <a:off x="11640911" y="202746"/>
          <a:ext cx="1292677" cy="293916"/>
        </a:xfrm>
        <a:prstGeom prst="rect">
          <a:avLst/>
        </a:prstGeom>
        <a:solidFill>
          <a:schemeClr val="bg1"/>
        </a:solidFill>
        <a:ln w="9525" cap="flat" cmpd="sng" algn="ctr">
          <a:solidFill>
            <a:srgbClr val="000000"/>
          </a:solidFill>
          <a:prstDash val="solid"/>
          <a:round/>
          <a:headEnd type="none" w="med" len="med"/>
          <a:tailEnd type="none" w="med" len="med"/>
        </a:ln>
        <a:effectLst>
          <a:innerShdw blurRad="114300">
            <a:prstClr val="black"/>
          </a:innerShdw>
        </a:effectLst>
      </xdr:spPr>
      <xdr:txBody>
        <a:bodyPr vertOverflow="clip" horzOverflow="clip" wrap="square" lIns="18288" tIns="0" rIns="0" bIns="0" rtlCol="0" anchor="ctr" upright="1"/>
        <a:lstStyle/>
        <a:p>
          <a:pPr algn="ctr"/>
          <a:r>
            <a:rPr lang="es-ES" sz="1400" b="1"/>
            <a:t>Export</a:t>
          </a:r>
          <a:endParaRPr lang="es-ES" sz="1200" b="1"/>
        </a:p>
      </xdr:txBody>
    </xdr:sp>
    <xdr:clientData/>
  </xdr:twoCellAnchor>
  <xdr:twoCellAnchor editAs="oneCell">
    <xdr:from>
      <xdr:col>0</xdr:col>
      <xdr:colOff>0</xdr:colOff>
      <xdr:row>297</xdr:row>
      <xdr:rowOff>123825</xdr:rowOff>
    </xdr:from>
    <xdr:to>
      <xdr:col>10</xdr:col>
      <xdr:colOff>342899</xdr:colOff>
      <xdr:row>307</xdr:row>
      <xdr:rowOff>114300</xdr:rowOff>
    </xdr:to>
    <xdr:sp macro="" textlink="">
      <xdr:nvSpPr>
        <xdr:cNvPr id="4" name="Tb2TextTw">
          <a:extLst>
            <a:ext uri="{FF2B5EF4-FFF2-40B4-BE49-F238E27FC236}">
              <a16:creationId xmlns:a16="http://schemas.microsoft.com/office/drawing/2014/main" id="{00000000-0008-0000-0200-000004000000}"/>
            </a:ext>
          </a:extLst>
        </xdr:cNvPr>
        <xdr:cNvSpPr txBox="1"/>
      </xdr:nvSpPr>
      <xdr:spPr>
        <a:xfrm>
          <a:off x="0" y="76514325"/>
          <a:ext cx="6638924" cy="1609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defTabSz="360000"/>
          <a:r>
            <a:rPr lang="es-ES" sz="1050" baseline="30000">
              <a:latin typeface="Arial" panose="020B0604020202020204" pitchFamily="34" charset="0"/>
              <a:cs typeface="Arial" panose="020B0604020202020204" pitchFamily="34" charset="0"/>
            </a:rPr>
            <a:t>     a</a:t>
          </a:r>
          <a:r>
            <a:rPr lang="es-ES" sz="1050">
              <a:latin typeface="Arial" panose="020B0604020202020204" pitchFamily="34" charset="0"/>
              <a:cs typeface="Arial" panose="020B0604020202020204" pitchFamily="34" charset="0"/>
            </a:rPr>
            <a:t> Within run background-corrected mean </a:t>
          </a:r>
          <a:r>
            <a:rPr lang="es-ES" sz="1050" baseline="30000">
              <a:solidFill>
                <a:schemeClr val="dk1"/>
              </a:solidFill>
              <a:effectLst/>
              <a:latin typeface="Arial" panose="020B0604020202020204" pitchFamily="34" charset="0"/>
              <a:ea typeface="+mn-ea"/>
              <a:cs typeface="Arial" panose="020B0604020202020204" pitchFamily="34" charset="0"/>
            </a:rPr>
            <a:t>207</a:t>
          </a:r>
          <a:r>
            <a:rPr lang="es-ES" sz="1050">
              <a:latin typeface="Arial" panose="020B0604020202020204" pitchFamily="34" charset="0"/>
              <a:cs typeface="Arial" panose="020B0604020202020204" pitchFamily="34" charset="0"/>
            </a:rPr>
            <a:t>Pb signal in cps (counts per second).</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b</a:t>
          </a:r>
          <a:r>
            <a:rPr lang="es-ES" sz="1050">
              <a:latin typeface="Arial" panose="020B0604020202020204" pitchFamily="34" charset="0"/>
              <a:cs typeface="Arial" panose="020B0604020202020204" pitchFamily="34" charset="0"/>
            </a:rPr>
            <a:t> U and Pb concentrations and Th/U ratio were calculated relative to the primary reference material.</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c </a:t>
          </a:r>
          <a:r>
            <a:rPr lang="es-ES" sz="1050">
              <a:latin typeface="Arial" panose="020B0604020202020204" pitchFamily="34" charset="0"/>
              <a:cs typeface="Arial" panose="020B0604020202020204" pitchFamily="34" charset="0"/>
            </a:rPr>
            <a:t>Corrected for background, within-run Pb/U fractionation (in case of</a:t>
          </a:r>
          <a:r>
            <a:rPr lang="es-ES" sz="1050">
              <a:solidFill>
                <a:schemeClr val="dk1"/>
              </a:solidFill>
              <a:effectLst/>
              <a:latin typeface="Arial" panose="020B0604020202020204" pitchFamily="34" charset="0"/>
              <a:ea typeface="+mn-ea"/>
              <a:cs typeface="Arial" panose="020B0604020202020204" pitchFamily="34" charset="0"/>
            </a:rPr>
            <a:t> </a:t>
          </a:r>
          <a:r>
            <a:rPr lang="es-ES" sz="1050" baseline="30000">
              <a:solidFill>
                <a:schemeClr val="dk1"/>
              </a:solidFill>
              <a:effectLst/>
              <a:latin typeface="Arial" panose="020B0604020202020204" pitchFamily="34" charset="0"/>
              <a:ea typeface="+mn-ea"/>
              <a:cs typeface="Arial" panose="020B0604020202020204" pitchFamily="34" charset="0"/>
            </a:rPr>
            <a:t>206</a:t>
          </a:r>
          <a:r>
            <a:rPr lang="es-ES" sz="1050">
              <a:solidFill>
                <a:schemeClr val="dk1"/>
              </a:solidFill>
              <a:effectLst/>
              <a:latin typeface="Arial" panose="020B0604020202020204" pitchFamily="34" charset="0"/>
              <a:ea typeface="+mn-ea"/>
              <a:cs typeface="Arial" panose="020B0604020202020204" pitchFamily="34" charset="0"/>
            </a:rPr>
            <a:t>Pb/</a:t>
          </a:r>
          <a:r>
            <a:rPr lang="es-ES" sz="1050" baseline="30000">
              <a:solidFill>
                <a:schemeClr val="dk1"/>
              </a:solidFill>
              <a:effectLst/>
              <a:latin typeface="Arial" panose="020B0604020202020204" pitchFamily="34" charset="0"/>
              <a:ea typeface="+mn-ea"/>
              <a:cs typeface="Arial" panose="020B0604020202020204" pitchFamily="34" charset="0"/>
            </a:rPr>
            <a:t>238</a:t>
          </a:r>
          <a:r>
            <a:rPr lang="es-ES" sz="1050">
              <a:solidFill>
                <a:schemeClr val="dk1"/>
              </a:solidFill>
              <a:effectLst/>
              <a:latin typeface="Arial" panose="020B0604020202020204" pitchFamily="34" charset="0"/>
              <a:ea typeface="+mn-ea"/>
              <a:cs typeface="Arial" panose="020B0604020202020204" pitchFamily="34" charset="0"/>
            </a:rPr>
            <a:t>U</a:t>
          </a:r>
          <a:r>
            <a:rPr lang="es-ES" sz="1050">
              <a:latin typeface="Arial" panose="020B0604020202020204" pitchFamily="34" charset="0"/>
              <a:cs typeface="Arial" panose="020B0604020202020204" pitchFamily="34" charset="0"/>
            </a:rPr>
            <a:t>) and subsequently normalised</a:t>
          </a:r>
          <a:r>
            <a:rPr lang="es-ES" sz="1050" baseline="0">
              <a:latin typeface="Arial" panose="020B0604020202020204" pitchFamily="34" charset="0"/>
              <a:cs typeface="Arial" panose="020B0604020202020204" pitchFamily="34" charset="0"/>
            </a:rPr>
            <a:t> </a:t>
          </a:r>
          <a:r>
            <a:rPr lang="es-ES" sz="1050">
              <a:latin typeface="Arial" panose="020B0604020202020204" pitchFamily="34" charset="0"/>
              <a:cs typeface="Arial" panose="020B0604020202020204" pitchFamily="34" charset="0"/>
            </a:rPr>
            <a:t>to the primary reference material (ID-TIMS</a:t>
          </a:r>
          <a:r>
            <a:rPr lang="es-ES" sz="1050" baseline="0">
              <a:latin typeface="Arial" panose="020B0604020202020204" pitchFamily="34" charset="0"/>
              <a:cs typeface="Arial" panose="020B0604020202020204" pitchFamily="34" charset="0"/>
            </a:rPr>
            <a:t> </a:t>
          </a:r>
          <a:r>
            <a:rPr lang="es-ES" sz="1050">
              <a:latin typeface="Arial" panose="020B0604020202020204" pitchFamily="34" charset="0"/>
              <a:cs typeface="Arial" panose="020B0604020202020204" pitchFamily="34" charset="0"/>
            </a:rPr>
            <a:t>value/measured value).</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d </a:t>
          </a:r>
          <a:r>
            <a:rPr lang="es-ES" sz="1050">
              <a:latin typeface="Arial" panose="020B0604020202020204" pitchFamily="34" charset="0"/>
              <a:cs typeface="Arial" panose="020B0604020202020204" pitchFamily="34" charset="0"/>
            </a:rPr>
            <a:t>Rho is the</a:t>
          </a:r>
          <a:r>
            <a:rPr lang="es-ES" sz="1050" baseline="0">
              <a:latin typeface="Arial" panose="020B0604020202020204" pitchFamily="34" charset="0"/>
              <a:cs typeface="Arial" panose="020B0604020202020204" pitchFamily="34" charset="0"/>
            </a:rPr>
            <a:t> </a:t>
          </a:r>
          <a:r>
            <a:rPr kumimoji="0" lang="es-ES" sz="1050" b="0" i="0" u="none" strike="noStrike" kern="0" cap="none" spc="0" normalizeH="0" baseline="30000" noProof="0">
              <a:ln>
                <a:noFill/>
              </a:ln>
              <a:solidFill>
                <a:prstClr val="black"/>
              </a:solidFill>
              <a:effectLst/>
              <a:uLnTx/>
              <a:uFillTx/>
              <a:latin typeface="Arial" panose="020B0604020202020204" pitchFamily="34" charset="0"/>
              <a:ea typeface="+mn-ea"/>
              <a:cs typeface="Arial" panose="020B0604020202020204" pitchFamily="34" charset="0"/>
            </a:rPr>
            <a:t>206</a:t>
          </a:r>
          <a:r>
            <a:rPr kumimoji="0" lang="es-ES" sz="105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Pb/</a:t>
          </a:r>
          <a:r>
            <a:rPr kumimoji="0" lang="es-ES" sz="1050" b="0" i="0" u="none" strike="noStrike" kern="0" cap="none" spc="0" normalizeH="0" baseline="30000" noProof="0">
              <a:ln>
                <a:noFill/>
              </a:ln>
              <a:solidFill>
                <a:prstClr val="black"/>
              </a:solidFill>
              <a:effectLst/>
              <a:uLnTx/>
              <a:uFillTx/>
              <a:latin typeface="Arial" panose="020B0604020202020204" pitchFamily="34" charset="0"/>
              <a:ea typeface="+mn-ea"/>
              <a:cs typeface="Arial" panose="020B0604020202020204" pitchFamily="34" charset="0"/>
            </a:rPr>
            <a:t>238</a:t>
          </a:r>
          <a:r>
            <a:rPr kumimoji="0" lang="es-ES" sz="105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 - </a:t>
          </a:r>
          <a:r>
            <a:rPr kumimoji="0" lang="es-ES" sz="1050" b="0" i="0" u="none" strike="noStrike" kern="0" cap="none" spc="0" normalizeH="0" baseline="30000" noProof="0">
              <a:ln>
                <a:noFill/>
              </a:ln>
              <a:solidFill>
                <a:prstClr val="black"/>
              </a:solidFill>
              <a:effectLst/>
              <a:uLnTx/>
              <a:uFillTx/>
              <a:latin typeface="Arial" panose="020B0604020202020204" pitchFamily="34" charset="0"/>
              <a:ea typeface="+mn-ea"/>
              <a:cs typeface="Arial" panose="020B0604020202020204" pitchFamily="34" charset="0"/>
            </a:rPr>
            <a:t>207</a:t>
          </a:r>
          <a:r>
            <a:rPr kumimoji="0" lang="es-ES" sz="105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Pb/</a:t>
          </a:r>
          <a:r>
            <a:rPr kumimoji="0" lang="es-ES" sz="1050" b="0" i="0" u="none" strike="noStrike" kern="0" cap="none" spc="0" normalizeH="0" baseline="30000" noProof="0">
              <a:ln>
                <a:noFill/>
              </a:ln>
              <a:solidFill>
                <a:prstClr val="black"/>
              </a:solidFill>
              <a:effectLst/>
              <a:uLnTx/>
              <a:uFillTx/>
              <a:latin typeface="Arial" panose="020B0604020202020204" pitchFamily="34" charset="0"/>
              <a:ea typeface="+mn-ea"/>
              <a:cs typeface="Arial" panose="020B0604020202020204" pitchFamily="34" charset="0"/>
            </a:rPr>
            <a:t>206</a:t>
          </a:r>
          <a:r>
            <a:rPr kumimoji="0" lang="es-ES" sz="105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Pb uncertainty</a:t>
          </a:r>
          <a:r>
            <a:rPr lang="es-ES" sz="1050">
              <a:latin typeface="Arial" panose="020B0604020202020204" pitchFamily="34" charset="0"/>
              <a:cs typeface="Arial" panose="020B0604020202020204" pitchFamily="34" charset="0"/>
            </a:rPr>
            <a:t> correlation coefficient.</a:t>
          </a:r>
        </a:p>
        <a:p>
          <a:pPr algn="just" defTabSz="360000"/>
          <a:r>
            <a:rPr lang="es-ES" sz="1050" baseline="30000">
              <a:solidFill>
                <a:schemeClr val="dk1"/>
              </a:solidFill>
              <a:latin typeface="Arial" panose="020B0604020202020204" pitchFamily="34" charset="0"/>
              <a:ea typeface="+mn-ea"/>
              <a:cs typeface="Arial" panose="020B0604020202020204" pitchFamily="34" charset="0"/>
            </a:rPr>
            <a:t>     </a:t>
          </a:r>
          <a:r>
            <a:rPr lang="es-ES" sz="1050" baseline="30000">
              <a:latin typeface="Arial" panose="020B0604020202020204" pitchFamily="34" charset="0"/>
              <a:cs typeface="Arial" panose="020B0604020202020204" pitchFamily="34" charset="0"/>
            </a:rPr>
            <a:t>g</a:t>
          </a:r>
          <a:r>
            <a:rPr lang="es-ES" sz="1050" baseline="0">
              <a:latin typeface="Arial" panose="020B0604020202020204" pitchFamily="34" charset="0"/>
              <a:cs typeface="Arial" panose="020B0604020202020204" pitchFamily="34" charset="0"/>
            </a:rPr>
            <a:t> RM</a:t>
          </a:r>
          <a:r>
            <a:rPr lang="es-ES" sz="1050" baseline="-25000">
              <a:latin typeface="Arial" panose="020B0604020202020204" pitchFamily="34" charset="0"/>
              <a:cs typeface="Arial" panose="020B0604020202020204" pitchFamily="34" charset="0"/>
            </a:rPr>
            <a:t>1</a:t>
          </a:r>
          <a:r>
            <a:rPr lang="es-ES" sz="1050" baseline="0">
              <a:latin typeface="Arial" panose="020B0604020202020204" pitchFamily="34" charset="0"/>
              <a:cs typeface="Arial" panose="020B0604020202020204" pitchFamily="34" charset="0"/>
            </a:rPr>
            <a:t>: Reference material 1.</a:t>
          </a:r>
          <a:endParaRPr lang="es-ES" sz="1050">
            <a:latin typeface="Arial" panose="020B0604020202020204" pitchFamily="34" charset="0"/>
            <a:cs typeface="Arial" panose="020B0604020202020204" pitchFamily="34" charset="0"/>
          </a:endParaRPr>
        </a:p>
        <a:p>
          <a:pPr algn="just" defTabSz="360000"/>
          <a:r>
            <a:rPr lang="es-ES" sz="1050" baseline="30000">
              <a:solidFill>
                <a:schemeClr val="dk1"/>
              </a:solidFill>
              <a:effectLst/>
              <a:latin typeface="Arial" panose="020B0604020202020204" pitchFamily="34" charset="0"/>
              <a:ea typeface="+mn-ea"/>
              <a:cs typeface="Arial" panose="020B0604020202020204" pitchFamily="34" charset="0"/>
            </a:rPr>
            <a:t>     </a:t>
          </a:r>
          <a:r>
            <a:rPr lang="es-ES" sz="1050">
              <a:latin typeface="Arial" panose="020B0604020202020204" pitchFamily="34" charset="0"/>
              <a:cs typeface="Arial" panose="020B0604020202020204" pitchFamily="34" charset="0"/>
            </a:rPr>
            <a:t>Accuracy and reproducibilty was checked by repeated analyses of secondary reference materials; data given</a:t>
          </a:r>
          <a:r>
            <a:rPr lang="es-ES" sz="1050" baseline="0">
              <a:latin typeface="Arial" panose="020B0604020202020204" pitchFamily="34" charset="0"/>
              <a:cs typeface="Arial" panose="020B0604020202020204" pitchFamily="34" charset="0"/>
            </a:rPr>
            <a:t> </a:t>
          </a:r>
          <a:r>
            <a:rPr lang="es-ES" sz="1050">
              <a:latin typeface="Arial" panose="020B0604020202020204" pitchFamily="34" charset="0"/>
              <a:cs typeface="Arial" panose="020B0604020202020204" pitchFamily="34" charset="0"/>
            </a:rPr>
            <a:t>as mean with 2 standard deviation uncertainties.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41</xdr:col>
      <xdr:colOff>214312</xdr:colOff>
      <xdr:row>18</xdr:row>
      <xdr:rowOff>110047</xdr:rowOff>
    </xdr:from>
    <xdr:to>
      <xdr:col>52</xdr:col>
      <xdr:colOff>208869</xdr:colOff>
      <xdr:row>57</xdr:row>
      <xdr:rowOff>0</xdr:rowOff>
    </xdr:to>
    <xdr:graphicFrame macro="">
      <xdr:nvGraphicFramePr>
        <xdr:cNvPr id="2" name="Diagramm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86744</xdr:colOff>
      <xdr:row>448</xdr:row>
      <xdr:rowOff>149678</xdr:rowOff>
    </xdr:from>
    <xdr:to>
      <xdr:col>33</xdr:col>
      <xdr:colOff>13607</xdr:colOff>
      <xdr:row>475</xdr:row>
      <xdr:rowOff>0</xdr:rowOff>
    </xdr:to>
    <xdr:graphicFrame macro="">
      <xdr:nvGraphicFramePr>
        <xdr:cNvPr id="3" name="Diagramm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13608</xdr:colOff>
      <xdr:row>439</xdr:row>
      <xdr:rowOff>68035</xdr:rowOff>
    </xdr:from>
    <xdr:to>
      <xdr:col>42</xdr:col>
      <xdr:colOff>634435</xdr:colOff>
      <xdr:row>475</xdr:row>
      <xdr:rowOff>0</xdr:rowOff>
    </xdr:to>
    <xdr:graphicFrame macro="">
      <xdr:nvGraphicFramePr>
        <xdr:cNvPr id="5" name="Diagramm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523875</xdr:colOff>
      <xdr:row>77</xdr:row>
      <xdr:rowOff>0</xdr:rowOff>
    </xdr:from>
    <xdr:to>
      <xdr:col>46</xdr:col>
      <xdr:colOff>107156</xdr:colOff>
      <xdr:row>77</xdr:row>
      <xdr:rowOff>105489</xdr:rowOff>
    </xdr:to>
    <xdr:graphicFrame macro="">
      <xdr:nvGraphicFramePr>
        <xdr:cNvPr id="6" name="Diagramm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tabColor rgb="FF85DFFF"/>
    <pageSetUpPr autoPageBreaks="0"/>
  </sheetPr>
  <dimension ref="A1:CC425"/>
  <sheetViews>
    <sheetView tabSelected="1" zoomScale="80" zoomScaleNormal="80" workbookViewId="0">
      <pane xSplit="2" ySplit="1" topLeftCell="C21" activePane="bottomRight" state="frozenSplit"/>
      <selection activeCell="Y55" sqref="Y55"/>
      <selection pane="topRight" activeCell="Y55" sqref="Y55"/>
      <selection pane="bottomLeft" activeCell="Y55" sqref="Y55"/>
      <selection pane="bottomRight" activeCell="A325" sqref="A325:XFD325"/>
    </sheetView>
  </sheetViews>
  <sheetFormatPr baseColWidth="10" defaultColWidth="11.5" defaultRowHeight="15" customHeight="1" x14ac:dyDescent="0.15"/>
  <cols>
    <col min="1" max="1" width="9.33203125" style="14" customWidth="1"/>
    <col min="2" max="2" width="13.6640625" style="23" bestFit="1" customWidth="1"/>
    <col min="3" max="3" width="11.1640625" style="23" customWidth="1"/>
    <col min="4" max="4" width="6.5" style="14" bestFit="1" customWidth="1"/>
    <col min="5" max="5" width="10.33203125" style="587" customWidth="1"/>
    <col min="6" max="6" width="6.5" style="14" bestFit="1" customWidth="1"/>
    <col min="7" max="7" width="10.6640625" style="587" customWidth="1"/>
    <col min="8" max="8" width="9" style="14" bestFit="1" customWidth="1"/>
    <col min="9" max="9" width="9.33203125" style="587" bestFit="1" customWidth="1"/>
    <col min="10" max="10" width="9" style="14" customWidth="1"/>
    <col min="11" max="11" width="11.5" style="587" bestFit="1" customWidth="1"/>
    <col min="12" max="12" width="8.83203125" style="14" bestFit="1" customWidth="1"/>
    <col min="13" max="13" width="10.5" style="587" bestFit="1" customWidth="1"/>
    <col min="14" max="14" width="7.1640625" style="14" bestFit="1" customWidth="1"/>
    <col min="15" max="15" width="10.5" style="587" bestFit="1" customWidth="1"/>
    <col min="16" max="16" width="6.5" style="14" customWidth="1"/>
    <col min="17" max="17" width="11.5" style="587" bestFit="1" customWidth="1"/>
    <col min="18" max="18" width="6.6640625" style="14" customWidth="1"/>
    <col min="19" max="19" width="9.5" style="14" customWidth="1"/>
    <col min="20" max="20" width="8.5" style="14" customWidth="1"/>
    <col min="21" max="21" width="10.5" style="14" customWidth="1"/>
    <col min="22" max="22" width="8.5" style="14" bestFit="1" customWidth="1"/>
    <col min="23" max="23" width="8.33203125" style="14" customWidth="1"/>
    <col min="24" max="24" width="10.5" style="14" customWidth="1"/>
    <col min="25" max="25" width="9.5" style="14" customWidth="1"/>
    <col min="26" max="26" width="8.33203125" style="14" customWidth="1"/>
    <col min="27" max="27" width="11" style="14" customWidth="1"/>
    <col min="28" max="28" width="8.33203125" style="14" customWidth="1"/>
    <col min="29" max="29" width="6.6640625" style="22" customWidth="1"/>
    <col min="30" max="31" width="8.33203125" style="14" customWidth="1"/>
    <col min="32" max="32" width="6.33203125" style="14" customWidth="1"/>
    <col min="33" max="33" width="8.33203125" style="14" customWidth="1"/>
    <col min="34" max="34" width="9.5" style="14" customWidth="1"/>
    <col min="35" max="39" width="12.33203125" style="14" customWidth="1"/>
    <col min="40" max="40" width="10.6640625" style="14" customWidth="1"/>
    <col min="41" max="42" width="10" style="14" customWidth="1"/>
    <col min="43" max="44" width="9.1640625" style="14" customWidth="1"/>
    <col min="45" max="45" width="11.33203125" style="14" customWidth="1"/>
    <col min="46" max="46" width="8.5" style="653" customWidth="1"/>
    <col min="47" max="47" width="12.33203125" style="540" bestFit="1" customWidth="1"/>
    <col min="48" max="48" width="9.5" style="14" bestFit="1" customWidth="1"/>
    <col min="49" max="49" width="17.83203125" style="594" customWidth="1"/>
    <col min="50" max="50" width="11.5" style="14"/>
    <col min="51" max="51" width="10.5" style="14" customWidth="1"/>
    <col min="52" max="52" width="10" style="14" customWidth="1"/>
    <col min="53" max="53" width="8" style="14" customWidth="1"/>
    <col min="54" max="54" width="7.1640625" style="14" customWidth="1"/>
    <col min="55" max="55" width="6.83203125" style="14" customWidth="1"/>
    <col min="56" max="58" width="8.5" style="14" customWidth="1"/>
    <col min="59" max="62" width="6.83203125" style="14" customWidth="1"/>
    <col min="63" max="64" width="7.5" style="14" customWidth="1"/>
    <col min="65" max="65" width="9.5" style="14" customWidth="1"/>
    <col min="66" max="66" width="7.5" style="14" customWidth="1"/>
    <col min="67" max="67" width="8.5" style="14" customWidth="1"/>
    <col min="68" max="16384" width="11.5" style="14"/>
  </cols>
  <sheetData>
    <row r="1" spans="1:68" s="182" customFormat="1" ht="15" customHeight="1" x14ac:dyDescent="0.2">
      <c r="A1" s="182" t="s">
        <v>0</v>
      </c>
      <c r="B1" s="182" t="s">
        <v>1137</v>
      </c>
      <c r="C1" s="182">
        <v>9.98</v>
      </c>
      <c r="D1" s="182" t="s">
        <v>445</v>
      </c>
      <c r="E1" s="108" t="s">
        <v>416</v>
      </c>
      <c r="F1" s="182" t="s">
        <v>445</v>
      </c>
      <c r="G1" s="630" t="s">
        <v>486</v>
      </c>
      <c r="H1" s="182" t="s">
        <v>445</v>
      </c>
      <c r="I1" s="108" t="s">
        <v>584</v>
      </c>
      <c r="J1" s="182" t="s">
        <v>445</v>
      </c>
      <c r="K1" s="108" t="s">
        <v>417</v>
      </c>
      <c r="L1" s="182" t="s">
        <v>445</v>
      </c>
      <c r="M1" s="108" t="s">
        <v>580</v>
      </c>
      <c r="N1" s="182" t="s">
        <v>445</v>
      </c>
      <c r="O1" s="108" t="s">
        <v>425</v>
      </c>
      <c r="P1" s="182" t="s">
        <v>445</v>
      </c>
      <c r="Q1" s="108" t="s">
        <v>426</v>
      </c>
      <c r="R1" s="182" t="s">
        <v>445</v>
      </c>
      <c r="S1" s="182" t="s">
        <v>524</v>
      </c>
      <c r="T1" s="182" t="s">
        <v>445</v>
      </c>
      <c r="U1" s="182" t="s">
        <v>428</v>
      </c>
      <c r="V1" s="182" t="s">
        <v>445</v>
      </c>
      <c r="W1" s="1" t="s">
        <v>1</v>
      </c>
      <c r="X1" s="182" t="s">
        <v>2</v>
      </c>
      <c r="Y1" s="1" t="s">
        <v>418</v>
      </c>
      <c r="Z1" s="1" t="s">
        <v>489</v>
      </c>
      <c r="AA1" s="1" t="s">
        <v>448</v>
      </c>
      <c r="AB1" s="1" t="s">
        <v>1138</v>
      </c>
      <c r="AC1" s="1" t="s">
        <v>4</v>
      </c>
      <c r="AD1" s="182" t="s">
        <v>325</v>
      </c>
      <c r="AE1" s="230" t="s">
        <v>326</v>
      </c>
      <c r="AF1" s="182" t="s">
        <v>323</v>
      </c>
      <c r="AG1" s="182" t="s">
        <v>324</v>
      </c>
      <c r="AH1" s="22" t="s">
        <v>429</v>
      </c>
      <c r="AO1" s="182" t="s">
        <v>416</v>
      </c>
      <c r="AP1" s="2" t="s">
        <v>417</v>
      </c>
      <c r="AR1" s="327" t="s">
        <v>436</v>
      </c>
      <c r="AS1" s="182" t="s">
        <v>525</v>
      </c>
      <c r="AT1" s="650" t="s">
        <v>448</v>
      </c>
      <c r="AU1" s="538" t="s">
        <v>526</v>
      </c>
      <c r="AW1" s="592"/>
    </row>
    <row r="2" spans="1:68" ht="15" customHeight="1" x14ac:dyDescent="0.15">
      <c r="A2" s="370" t="s">
        <v>601</v>
      </c>
      <c r="B2" s="182"/>
      <c r="C2" s="182"/>
      <c r="D2" s="108"/>
      <c r="E2" s="108"/>
      <c r="F2" s="108"/>
      <c r="G2" s="108"/>
      <c r="H2" s="53"/>
      <c r="I2" s="463"/>
      <c r="J2" s="53"/>
      <c r="K2" s="463"/>
      <c r="L2" s="53"/>
      <c r="M2" s="463"/>
      <c r="N2" s="53"/>
      <c r="O2" s="463"/>
      <c r="P2" s="53"/>
      <c r="Q2" s="463"/>
      <c r="R2" s="53"/>
      <c r="S2" s="182"/>
      <c r="T2" s="53"/>
      <c r="U2" s="53"/>
      <c r="V2" s="53"/>
      <c r="W2" s="53"/>
      <c r="X2" s="109"/>
      <c r="Y2" s="53"/>
      <c r="Z2" s="53"/>
      <c r="AA2" s="53"/>
      <c r="AB2" s="53"/>
      <c r="AC2" s="108"/>
      <c r="AD2" s="231"/>
      <c r="AE2" s="53"/>
      <c r="AF2" s="53"/>
      <c r="AG2" s="53"/>
      <c r="AH2" s="53"/>
      <c r="AI2" s="232">
        <v>262</v>
      </c>
      <c r="AJ2" s="121"/>
      <c r="AK2" s="121"/>
      <c r="AL2" s="121"/>
      <c r="AM2" s="121"/>
      <c r="AN2" s="14">
        <v>130</v>
      </c>
      <c r="AO2" s="233"/>
      <c r="AP2" s="587">
        <f>AVERAGE(Q3:Q16)</f>
        <v>7977876.0358299492</v>
      </c>
      <c r="AQ2" s="161"/>
      <c r="AR2" s="562">
        <f>STDEV(AA3:AA16)</f>
        <v>0.42624468364207829</v>
      </c>
      <c r="AS2" s="161"/>
      <c r="AT2" s="651">
        <f>AVERAGE(AA3:AA16)</f>
        <v>-0.96534430923138148</v>
      </c>
      <c r="AU2" s="10">
        <f>STDEV(AA3:AA16)/SQRT((COUNT(AA3:AA16)-1))</f>
        <v>0.11821900482811078</v>
      </c>
      <c r="AV2" s="162"/>
      <c r="BK2" s="161" t="str">
        <f>B3</f>
        <v>NIST612 gl</v>
      </c>
      <c r="BL2" s="9">
        <f>AP2</f>
        <v>7977876.0358299492</v>
      </c>
      <c r="BM2" s="10">
        <f>AT2</f>
        <v>-0.96534430923138148</v>
      </c>
      <c r="BN2" s="475">
        <f>AR2</f>
        <v>0.42624468364207829</v>
      </c>
      <c r="BO2" s="10">
        <f>BN2/(10-1)^0.5</f>
        <v>0.1420815612140261</v>
      </c>
      <c r="BP2" s="10">
        <f>AU2</f>
        <v>0.11821900482811078</v>
      </c>
    </row>
    <row r="3" spans="1:68" ht="15" customHeight="1" x14ac:dyDescent="0.15">
      <c r="A3" s="780" t="str">
        <f>'r-in'!A6</f>
        <v>001_A</v>
      </c>
      <c r="B3" s="691" t="s">
        <v>915</v>
      </c>
      <c r="C3" s="162">
        <f>'r-in'!P6</f>
        <v>5950.6201865498897</v>
      </c>
      <c r="D3" s="162">
        <f>'r-in'!Q6</f>
        <v>3.2462273813116682</v>
      </c>
      <c r="E3" s="81">
        <f>'r-in'!R6</f>
        <v>2137090.4693487403</v>
      </c>
      <c r="F3" s="162">
        <f>'r-in'!S6</f>
        <v>0.65465952997651355</v>
      </c>
      <c r="G3" s="81">
        <f>'r-in'!T6</f>
        <v>4708.1903356237199</v>
      </c>
      <c r="H3" s="162">
        <f>'r-in'!U6</f>
        <v>3.7718498918953705</v>
      </c>
      <c r="I3" s="81">
        <f>'r-in'!V6</f>
        <v>5382.4333977215165</v>
      </c>
      <c r="J3" s="162">
        <f>'r-in'!W6</f>
        <v>2.45199009362485</v>
      </c>
      <c r="K3" s="81">
        <f>'r-in'!X6</f>
        <v>9715180.1922981106</v>
      </c>
      <c r="L3" s="162">
        <f>'r-in'!Y6</f>
        <v>0.65973050920718124</v>
      </c>
      <c r="M3" s="81">
        <f>'r-in'!Z6</f>
        <v>4037.2788308272015</v>
      </c>
      <c r="N3" s="162">
        <f>'r-in'!AA6</f>
        <v>7.1924884024669353</v>
      </c>
      <c r="O3" s="81">
        <f>'r-in'!AB6</f>
        <v>2092640.3756515514</v>
      </c>
      <c r="P3" s="162">
        <f>'r-in'!AC6</f>
        <v>0.66783246387954631</v>
      </c>
      <c r="Q3" s="81">
        <f>'r-in'!AD6</f>
        <v>9622179.801799722</v>
      </c>
      <c r="R3" s="162">
        <f>'r-in'!AE6</f>
        <v>0.66601277579611873</v>
      </c>
      <c r="S3" s="157">
        <f>'r-in'!AF6</f>
        <v>4.5868009140340593</v>
      </c>
      <c r="T3" s="157">
        <f>'r-in'!AG6</f>
        <v>1.057910751040423E-2</v>
      </c>
      <c r="U3" s="695">
        <f>'r-in'!AH6</f>
        <v>4.5981489511770413</v>
      </c>
      <c r="V3" s="589">
        <f>'r-in'!AI6</f>
        <v>1.1310392034832559E-2</v>
      </c>
      <c r="W3" s="158">
        <v>1</v>
      </c>
      <c r="X3" s="734">
        <f t="shared" ref="X3:X16" si="0">Tb1Prim11B10B/($L$31 + $M$31*Tb1Order + IF($K$31&gt; 1,$N$31*Tb1Order^2) + IF($K$31&gt; 2,$O$31*Tb1Order^3) + IF($K$31&gt; 3,$P$31*Tb1Order^4) + IF($K$31&gt; 4,$Q$31*Tb1Order^5) + IF($K$31&gt; 5,$R$31*Tb1Order^6))</f>
        <v>0.88111600865018991</v>
      </c>
      <c r="Y3" s="387">
        <f t="shared" ref="Y3" si="1">U3*X3</f>
        <v>4.0515026510401713</v>
      </c>
      <c r="Z3" s="387">
        <f t="shared" ref="Z3" si="2">T3</f>
        <v>1.057910751040423E-2</v>
      </c>
      <c r="AA3" s="473">
        <f>((Y3/AZ$29)-1)*1000</f>
        <v>-0.7392647576344169</v>
      </c>
      <c r="AB3" s="478">
        <f>AA3-(((Y3-(Y3/100*Z3))/AZ$29)-1)*1000</f>
        <v>0.1057128674905039</v>
      </c>
      <c r="AC3" s="108">
        <v>1</v>
      </c>
      <c r="AD3" s="159">
        <f>(AE3/2)^2/(AE3/2)^2</f>
        <v>1</v>
      </c>
      <c r="AE3" s="160">
        <v>130</v>
      </c>
      <c r="AF3" s="160">
        <v>12</v>
      </c>
      <c r="AG3" s="160">
        <v>2.1</v>
      </c>
      <c r="AH3" s="303">
        <f t="shared" ref="AH3:AH16" si="3">Q3*AD3*$AH$18 /($L$33 + $M$33*Tb1Order + IF($K$33&gt; 1,$N$33*Tb1Order^2) + IF($K$33&gt; 2,$O$33*Tb1Order^3) + IF($K$33&gt; 3,$P$33*Tb1Order^4) + IF($K$33&gt; 4,$Q$33*Tb1Order^5) + IF($K$33&gt; 5,$R$33*Tb1Order^6))</f>
        <v>34.874910194623915</v>
      </c>
      <c r="AI3" s="536">
        <f t="shared" ref="AI3:AI4" si="4">((O3*$AI$2/1000)^0.5/($AN$2^0.5)*(1000/$AI$2))*100/O3</f>
        <v>1.184487216501162E-2</v>
      </c>
      <c r="AJ3" s="536"/>
      <c r="AK3" s="536"/>
      <c r="AL3" s="536"/>
      <c r="AM3" s="536"/>
      <c r="AN3" s="536">
        <f t="shared" ref="AN3:AN4" si="5">((Q3*$AI$2/1000)^0.5/($AN$2^0.5)*(1000/$AI$2))*100/Q3</f>
        <v>5.5238381381622287E-3</v>
      </c>
      <c r="AO3" s="537">
        <f>(AI3^2+AN3^2)^0.5</f>
        <v>1.3069574759037979E-2</v>
      </c>
      <c r="AP3" s="158">
        <v>183</v>
      </c>
      <c r="AQ3" s="158">
        <v>2</v>
      </c>
      <c r="AR3" s="568"/>
      <c r="AS3" s="576"/>
      <c r="AT3" s="660"/>
      <c r="AU3" s="576"/>
      <c r="AV3" s="736"/>
      <c r="AW3" s="660"/>
    </row>
    <row r="4" spans="1:68" ht="15" customHeight="1" x14ac:dyDescent="0.15">
      <c r="A4" s="780" t="str">
        <f>'r-in'!A7</f>
        <v>002_A</v>
      </c>
      <c r="B4" s="691" t="s">
        <v>915</v>
      </c>
      <c r="C4" s="162">
        <f>'r-in'!P7</f>
        <v>5884.4375569808899</v>
      </c>
      <c r="D4" s="162">
        <f>'r-in'!Q7</f>
        <v>3.3915687040307079</v>
      </c>
      <c r="E4" s="81">
        <f>'r-in'!R7</f>
        <v>2146707.9746606108</v>
      </c>
      <c r="F4" s="162">
        <f>'r-in'!S7</f>
        <v>0.67660368831622519</v>
      </c>
      <c r="G4" s="81">
        <f>'r-in'!T7</f>
        <v>4952.4318190018648</v>
      </c>
      <c r="H4" s="162">
        <f>'r-in'!U7</f>
        <v>3.3358825147469142</v>
      </c>
      <c r="I4" s="81">
        <f>'r-in'!V7</f>
        <v>5458.2136160178152</v>
      </c>
      <c r="J4" s="162">
        <f>'r-in'!W7</f>
        <v>2.4446244419019463</v>
      </c>
      <c r="K4" s="81">
        <f>'r-in'!X7</f>
        <v>9762809.9997851178</v>
      </c>
      <c r="L4" s="162">
        <f>'r-in'!Y7</f>
        <v>0.68386374943598094</v>
      </c>
      <c r="M4" s="81">
        <f>'r-in'!Z7</f>
        <v>4548.9736407536921</v>
      </c>
      <c r="N4" s="162">
        <f>'r-in'!AA7</f>
        <v>5.4241808667791052</v>
      </c>
      <c r="O4" s="81">
        <f>'r-in'!AB7</f>
        <v>2101596.1826177291</v>
      </c>
      <c r="P4" s="162">
        <f>'r-in'!AC7</f>
        <v>0.68914484199887538</v>
      </c>
      <c r="Q4" s="81">
        <f>'r-in'!AD7</f>
        <v>9669186.5702567659</v>
      </c>
      <c r="R4" s="162">
        <f>'r-in'!AE7</f>
        <v>0.68968783720899318</v>
      </c>
      <c r="S4" s="157">
        <f>'r-in'!AF7</f>
        <v>4.5888559788646264</v>
      </c>
      <c r="T4" s="157">
        <f>'r-in'!AG7</f>
        <v>8.4593600326367986E-3</v>
      </c>
      <c r="U4" s="695">
        <f>'r-in'!AH7</f>
        <v>4.600867102819838</v>
      </c>
      <c r="V4" s="589">
        <f>'r-in'!AI7</f>
        <v>1.0026016325718937E-2</v>
      </c>
      <c r="W4" s="158">
        <v>2</v>
      </c>
      <c r="X4" s="734">
        <f t="shared" si="0"/>
        <v>0.88106705390080231</v>
      </c>
      <c r="Y4" s="387">
        <f t="shared" ref="Y4:Y5" si="6">U4*X4</f>
        <v>4.0536724236705943</v>
      </c>
      <c r="Z4" s="387">
        <f t="shared" ref="Z4:Z5" si="7">T4</f>
        <v>8.4593600326367986E-3</v>
      </c>
      <c r="AA4" s="473">
        <f>((Y4/AZ$29)-1)*1000</f>
        <v>-0.20411304215206538</v>
      </c>
      <c r="AB4" s="478">
        <f>AA4-(((Y4-(Y4/100*Z4))/AZ$29)-1)*1000</f>
        <v>8.4576333669317272E-2</v>
      </c>
      <c r="AC4" s="108">
        <v>1</v>
      </c>
      <c r="AD4" s="159">
        <f>(AE4/2)^2/(AE4/2)^2</f>
        <v>1</v>
      </c>
      <c r="AE4" s="160">
        <v>130</v>
      </c>
      <c r="AF4" s="160">
        <v>12</v>
      </c>
      <c r="AG4" s="160">
        <v>2.1</v>
      </c>
      <c r="AH4" s="303">
        <f t="shared" si="3"/>
        <v>35.138632679972154</v>
      </c>
      <c r="AI4" s="536">
        <f t="shared" si="4"/>
        <v>1.181960716773659E-2</v>
      </c>
      <c r="AJ4" s="536"/>
      <c r="AK4" s="536"/>
      <c r="AL4" s="536"/>
      <c r="AM4" s="536"/>
      <c r="AN4" s="536">
        <f t="shared" si="5"/>
        <v>5.5103947047565171E-3</v>
      </c>
      <c r="AO4" s="537">
        <f>(AI4^2+AN4^2)^0.5</f>
        <v>1.3040995491212274E-2</v>
      </c>
      <c r="AP4" s="158">
        <v>184</v>
      </c>
      <c r="AQ4" s="158">
        <v>2</v>
      </c>
      <c r="AR4" s="234"/>
      <c r="AS4" s="162"/>
      <c r="AT4" s="652"/>
      <c r="AU4" s="539"/>
      <c r="AW4" s="162"/>
    </row>
    <row r="5" spans="1:68" ht="15" customHeight="1" x14ac:dyDescent="0.15">
      <c r="A5" s="780" t="str">
        <f>'r-in'!A8</f>
        <v>051_A</v>
      </c>
      <c r="B5" s="691" t="s">
        <v>915</v>
      </c>
      <c r="C5" s="162">
        <f>'r-in'!P8</f>
        <v>5353.9206222052744</v>
      </c>
      <c r="D5" s="162">
        <f>'r-in'!Q8</f>
        <v>3.1967876454084627</v>
      </c>
      <c r="E5" s="81">
        <f>'r-in'!R8</f>
        <v>1916575.0881744935</v>
      </c>
      <c r="F5" s="162">
        <f>'r-in'!S8</f>
        <v>0.57284208422713778</v>
      </c>
      <c r="G5" s="81">
        <f>'r-in'!T8</f>
        <v>4882.5346814683207</v>
      </c>
      <c r="H5" s="162">
        <f>'r-in'!U8</f>
        <v>3.8837966401935713</v>
      </c>
      <c r="I5" s="81">
        <f>'r-in'!V8</f>
        <v>5138.3468706839994</v>
      </c>
      <c r="J5" s="162">
        <f>'r-in'!W8</f>
        <v>2.6171522982706756</v>
      </c>
      <c r="K5" s="81">
        <f>'r-in'!X8</f>
        <v>8707434.1670681685</v>
      </c>
      <c r="L5" s="162">
        <f>'r-in'!Y8</f>
        <v>0.58045560101128091</v>
      </c>
      <c r="M5" s="81">
        <f>'r-in'!Z8</f>
        <v>3937.7503091629196</v>
      </c>
      <c r="N5" s="162">
        <f>'r-in'!AA8</f>
        <v>6.1443807478116641</v>
      </c>
      <c r="O5" s="81">
        <f>'r-in'!AB8</f>
        <v>1875203.2373389772</v>
      </c>
      <c r="P5" s="162">
        <f>'r-in'!AC8</f>
        <v>0.58468249022386931</v>
      </c>
      <c r="Q5" s="81">
        <f>'r-in'!AD8</f>
        <v>8627245.9114937857</v>
      </c>
      <c r="R5" s="162">
        <f>'r-in'!AE8</f>
        <v>0.58594096967628639</v>
      </c>
      <c r="S5" s="157">
        <f>'r-in'!AF8</f>
        <v>4.5885054100869924</v>
      </c>
      <c r="T5" s="157">
        <f>'r-in'!AG8</f>
        <v>1.2679929622187445E-2</v>
      </c>
      <c r="U5" s="695">
        <f>'r-in'!AH8</f>
        <v>4.6006742925713588</v>
      </c>
      <c r="V5" s="589">
        <f>'r-in'!AI8</f>
        <v>1.3948942794013047E-2</v>
      </c>
      <c r="W5" s="158">
        <v>51</v>
      </c>
      <c r="X5" s="734">
        <f t="shared" si="0"/>
        <v>0.88016941601231891</v>
      </c>
      <c r="Y5" s="387">
        <f t="shared" si="6"/>
        <v>4.0493728053554214</v>
      </c>
      <c r="Z5" s="387">
        <f t="shared" si="7"/>
        <v>1.2679929622187445E-2</v>
      </c>
      <c r="AA5" s="473">
        <f t="shared" ref="AA5:AA16" si="8">((Y5/AZ$29)-1)*1000</f>
        <v>-1.2645689097493529</v>
      </c>
      <c r="AB5" s="478">
        <f t="shared" ref="AB5:AB16" si="9">AA5-(((Y5-(Y5/100*Z5))/AZ$29)-1)*1000</f>
        <v>0.12663894977404944</v>
      </c>
      <c r="AC5" s="108">
        <v>1</v>
      </c>
      <c r="AD5" s="159">
        <f t="shared" ref="AD5:AD16" si="10">(AE5/2)^2/(AE5/2)^2</f>
        <v>1</v>
      </c>
      <c r="AE5" s="160">
        <v>130</v>
      </c>
      <c r="AF5" s="160">
        <v>12</v>
      </c>
      <c r="AG5" s="160">
        <v>2.1</v>
      </c>
      <c r="AH5" s="303">
        <f t="shared" si="3"/>
        <v>34.917303509905999</v>
      </c>
      <c r="AI5" s="536">
        <f t="shared" ref="AI5:AI16" si="11">((O5*$AI$2/1000)^0.5/($AN$2^0.5)*(1000/$AI$2))*100/O5</f>
        <v>1.2512771278090194E-2</v>
      </c>
      <c r="AJ5" s="536"/>
      <c r="AK5" s="536"/>
      <c r="AL5" s="536"/>
      <c r="AM5" s="536"/>
      <c r="AN5" s="536">
        <f t="shared" ref="AN5:AN16" si="12">((Q5*$AI$2/1000)^0.5/($AN$2^0.5)*(1000/$AI$2))*100/Q5</f>
        <v>5.8336663901914689E-3</v>
      </c>
      <c r="AO5" s="537">
        <f t="shared" ref="AO5:AO16" si="13">(AI5^2+AN5^2)^0.5</f>
        <v>1.3805836034440234E-2</v>
      </c>
      <c r="AP5" s="158">
        <v>185</v>
      </c>
      <c r="AQ5" s="158">
        <v>2</v>
      </c>
      <c r="AR5" s="568"/>
      <c r="AS5" s="576"/>
      <c r="AT5" s="660"/>
      <c r="AU5" s="576"/>
      <c r="AV5" s="736"/>
      <c r="AW5" s="660"/>
    </row>
    <row r="6" spans="1:68" ht="15" customHeight="1" x14ac:dyDescent="0.15">
      <c r="A6" s="780" t="str">
        <f>'r-in'!A9</f>
        <v>052_A</v>
      </c>
      <c r="B6" s="691" t="s">
        <v>915</v>
      </c>
      <c r="C6" s="162">
        <f>'r-in'!P9</f>
        <v>5408.3714013125318</v>
      </c>
      <c r="D6" s="162">
        <f>'r-in'!Q9</f>
        <v>3.6994489871606904</v>
      </c>
      <c r="E6" s="81">
        <f>'r-in'!R9</f>
        <v>1909904.0695852649</v>
      </c>
      <c r="F6" s="162">
        <f>'r-in'!S9</f>
        <v>0.6649227158429285</v>
      </c>
      <c r="G6" s="81">
        <f>'r-in'!T9</f>
        <v>4427.0595571444464</v>
      </c>
      <c r="H6" s="162">
        <f>'r-in'!U9</f>
        <v>4.1387741472471697</v>
      </c>
      <c r="I6" s="81">
        <f>'r-in'!V9</f>
        <v>4959.5988407035957</v>
      </c>
      <c r="J6" s="162">
        <f>'r-in'!W9</f>
        <v>2.8562198374988665</v>
      </c>
      <c r="K6" s="81">
        <f>'r-in'!X9</f>
        <v>8680472.6902505327</v>
      </c>
      <c r="L6" s="162">
        <f>'r-in'!Y9</f>
        <v>0.6721808491137754</v>
      </c>
      <c r="M6" s="81">
        <f>'r-in'!Z9</f>
        <v>3674.9209908242897</v>
      </c>
      <c r="N6" s="162">
        <f>'r-in'!AA9</f>
        <v>5.7649192407935459</v>
      </c>
      <c r="O6" s="81">
        <f>'r-in'!AB9</f>
        <v>1867407.5743362796</v>
      </c>
      <c r="P6" s="162">
        <f>'r-in'!AC9</f>
        <v>0.67910718967558081</v>
      </c>
      <c r="Q6" s="81">
        <f>'r-in'!AD9</f>
        <v>8596755.475337822</v>
      </c>
      <c r="R6" s="162">
        <f>'r-in'!AE9</f>
        <v>0.67920475898017929</v>
      </c>
      <c r="S6" s="157">
        <f>'r-in'!AF9</f>
        <v>4.5904019604630779</v>
      </c>
      <c r="T6" s="157">
        <f>'r-in'!AG9</f>
        <v>1.1315170567163108E-2</v>
      </c>
      <c r="U6" s="695">
        <f>'r-in'!AH9</f>
        <v>4.6035767713390214</v>
      </c>
      <c r="V6" s="589">
        <f>'r-in'!AI9</f>
        <v>9.2617698403973797E-3</v>
      </c>
      <c r="W6" s="158">
        <v>52</v>
      </c>
      <c r="X6" s="734">
        <f t="shared" si="0"/>
        <v>0.88017435335941807</v>
      </c>
      <c r="Y6" s="387">
        <f t="shared" ref="Y6:Y16" si="14">U6*X6</f>
        <v>4.0519502078537606</v>
      </c>
      <c r="Z6" s="387">
        <f t="shared" ref="Z6:Z16" si="15">T6</f>
        <v>1.1315170567163108E-2</v>
      </c>
      <c r="AA6" s="473">
        <f t="shared" si="8"/>
        <v>-0.62887955265489293</v>
      </c>
      <c r="AB6" s="478">
        <f t="shared" si="9"/>
        <v>0.11308054687764191</v>
      </c>
      <c r="AC6" s="108">
        <v>1</v>
      </c>
      <c r="AD6" s="159">
        <f t="shared" si="10"/>
        <v>1</v>
      </c>
      <c r="AE6" s="160">
        <v>130</v>
      </c>
      <c r="AF6" s="160">
        <v>12</v>
      </c>
      <c r="AG6" s="160">
        <v>2.1</v>
      </c>
      <c r="AH6" s="303">
        <f t="shared" si="3"/>
        <v>34.854648664603232</v>
      </c>
      <c r="AI6" s="536">
        <f t="shared" si="11"/>
        <v>1.2538861928681975E-2</v>
      </c>
      <c r="AJ6" s="536"/>
      <c r="AK6" s="536"/>
      <c r="AL6" s="536"/>
      <c r="AM6" s="536"/>
      <c r="AN6" s="536">
        <f t="shared" si="12"/>
        <v>5.844002475516516E-3</v>
      </c>
      <c r="AO6" s="537">
        <f t="shared" si="13"/>
        <v>1.3833850635321802E-2</v>
      </c>
      <c r="AP6" s="158">
        <v>186</v>
      </c>
      <c r="AQ6" s="158">
        <v>2</v>
      </c>
      <c r="AR6" s="234"/>
      <c r="AS6" s="162"/>
      <c r="AT6" s="652"/>
      <c r="AU6" s="539"/>
      <c r="AW6" s="162"/>
    </row>
    <row r="7" spans="1:68" ht="15" customHeight="1" x14ac:dyDescent="0.15">
      <c r="A7" s="780" t="str">
        <f>'r-in'!A10</f>
        <v>101_A</v>
      </c>
      <c r="B7" s="691" t="s">
        <v>915</v>
      </c>
      <c r="C7" s="162">
        <f>'r-in'!P10</f>
        <v>4544.9197865009373</v>
      </c>
      <c r="D7" s="162">
        <f>'r-in'!Q10</f>
        <v>3.464936681609748</v>
      </c>
      <c r="E7" s="81">
        <f>'r-in'!R10</f>
        <v>1807202.9303516091</v>
      </c>
      <c r="F7" s="162">
        <f>'r-in'!S10</f>
        <v>0.62399722764262366</v>
      </c>
      <c r="G7" s="81">
        <f>'r-in'!T10</f>
        <v>3857.121708035861</v>
      </c>
      <c r="H7" s="162">
        <f>'r-in'!U10</f>
        <v>4.38917861876625</v>
      </c>
      <c r="I7" s="81">
        <f>'r-in'!V10</f>
        <v>4230.3766505049061</v>
      </c>
      <c r="J7" s="162">
        <f>'r-in'!W10</f>
        <v>2.6033044595038857</v>
      </c>
      <c r="K7" s="81">
        <f>'r-in'!X10</f>
        <v>8205671.6811929364</v>
      </c>
      <c r="L7" s="162">
        <f>'r-in'!Y10</f>
        <v>0.63097585148580893</v>
      </c>
      <c r="M7" s="81">
        <f>'r-in'!Z10</f>
        <v>4111.2907428702219</v>
      </c>
      <c r="N7" s="162">
        <f>'r-in'!AA10</f>
        <v>5.0010580219210219</v>
      </c>
      <c r="O7" s="81">
        <f>'r-in'!AB10</f>
        <v>1767112.0990102435</v>
      </c>
      <c r="P7" s="162">
        <f>'r-in'!AC10</f>
        <v>0.63620006422125086</v>
      </c>
      <c r="Q7" s="81">
        <f>'r-in'!AD10</f>
        <v>8124132.3552753069</v>
      </c>
      <c r="R7" s="162">
        <f>'r-in'!AE10</f>
        <v>0.63740506120950913</v>
      </c>
      <c r="S7" s="157">
        <f>'r-in'!AF10</f>
        <v>4.5868277706908325</v>
      </c>
      <c r="T7" s="157">
        <f>'r-in'!AG10</f>
        <v>1.4143157309282695E-2</v>
      </c>
      <c r="U7" s="695">
        <f>'r-in'!AH10</f>
        <v>4.5973812255997908</v>
      </c>
      <c r="V7" s="589">
        <f>'r-in'!AI10</f>
        <v>1.4464729599790751E-2</v>
      </c>
      <c r="W7" s="158">
        <v>101</v>
      </c>
      <c r="X7" s="734">
        <f t="shared" si="0"/>
        <v>0.88097837505415555</v>
      </c>
      <c r="Y7" s="387">
        <f t="shared" si="14"/>
        <v>4.050193441633386</v>
      </c>
      <c r="Z7" s="387">
        <f t="shared" si="15"/>
        <v>1.4143157309282695E-2</v>
      </c>
      <c r="AA7" s="473">
        <f t="shared" si="8"/>
        <v>-1.0621675586666157</v>
      </c>
      <c r="AB7" s="478">
        <f t="shared" si="9"/>
        <v>0.14128134906421508</v>
      </c>
      <c r="AC7" s="108">
        <v>1</v>
      </c>
      <c r="AD7" s="159">
        <f t="shared" si="10"/>
        <v>1</v>
      </c>
      <c r="AE7" s="160">
        <v>130</v>
      </c>
      <c r="AF7" s="160">
        <v>12</v>
      </c>
      <c r="AG7" s="160">
        <v>2.1</v>
      </c>
      <c r="AH7" s="303">
        <f t="shared" si="3"/>
        <v>35.178991276284584</v>
      </c>
      <c r="AI7" s="536">
        <f t="shared" si="11"/>
        <v>1.2889783650990257E-2</v>
      </c>
      <c r="AJ7" s="536"/>
      <c r="AK7" s="536"/>
      <c r="AL7" s="536"/>
      <c r="AM7" s="536"/>
      <c r="AN7" s="536">
        <f t="shared" si="12"/>
        <v>6.0115876435158184E-3</v>
      </c>
      <c r="AO7" s="537">
        <f t="shared" si="13"/>
        <v>1.4222718044206873E-2</v>
      </c>
      <c r="AP7" s="158">
        <v>187</v>
      </c>
      <c r="AQ7" s="158">
        <v>2</v>
      </c>
      <c r="AR7" s="568"/>
      <c r="AS7" s="576"/>
      <c r="AT7" s="660"/>
      <c r="AU7" s="576"/>
      <c r="AV7" s="736"/>
      <c r="AW7" s="660"/>
    </row>
    <row r="8" spans="1:68" ht="15" customHeight="1" x14ac:dyDescent="0.15">
      <c r="A8" s="780" t="str">
        <f>'r-in'!A11</f>
        <v>102_A</v>
      </c>
      <c r="B8" s="691" t="s">
        <v>915</v>
      </c>
      <c r="C8" s="162">
        <f>'r-in'!P11</f>
        <v>4846.4884241817517</v>
      </c>
      <c r="D8" s="162">
        <f>'r-in'!Q11</f>
        <v>3.6046138457630827</v>
      </c>
      <c r="E8" s="81">
        <f>'r-in'!R11</f>
        <v>1814821.9855512429</v>
      </c>
      <c r="F8" s="162">
        <f>'r-in'!S11</f>
        <v>0.62610106098311202</v>
      </c>
      <c r="G8" s="81">
        <f>'r-in'!T11</f>
        <v>3892.3611410853218</v>
      </c>
      <c r="H8" s="162">
        <f>'r-in'!U11</f>
        <v>3.4820518699175649</v>
      </c>
      <c r="I8" s="81">
        <f>'r-in'!V11</f>
        <v>4410.1478801164458</v>
      </c>
      <c r="J8" s="162">
        <f>'r-in'!W11</f>
        <v>2.6913517876010222</v>
      </c>
      <c r="K8" s="81">
        <f>'r-in'!X11</f>
        <v>8239732.6443208428</v>
      </c>
      <c r="L8" s="162">
        <f>'r-in'!Y11</f>
        <v>0.63066136753620883</v>
      </c>
      <c r="M8" s="81">
        <f>'r-in'!Z11</f>
        <v>3434.5528873101753</v>
      </c>
      <c r="N8" s="162">
        <f>'r-in'!AA11</f>
        <v>5.8002864604635329</v>
      </c>
      <c r="O8" s="81">
        <f>'r-in'!AB11</f>
        <v>1774290.7965295175</v>
      </c>
      <c r="P8" s="162">
        <f>'r-in'!AC11</f>
        <v>0.63844508557384261</v>
      </c>
      <c r="Q8" s="81">
        <f>'r-in'!AD11</f>
        <v>8157688.9330983721</v>
      </c>
      <c r="R8" s="162">
        <f>'r-in'!AE11</f>
        <v>0.63699157982270327</v>
      </c>
      <c r="S8" s="157">
        <f>'r-in'!AF11</f>
        <v>4.5862800789829645</v>
      </c>
      <c r="T8" s="157">
        <f>'r-in'!AG11</f>
        <v>1.3490841126168898E-2</v>
      </c>
      <c r="U8" s="695">
        <f>'r-in'!AH11</f>
        <v>4.5977630343238562</v>
      </c>
      <c r="V8" s="589">
        <f>'r-in'!AI11</f>
        <v>1.3591401043073194E-2</v>
      </c>
      <c r="W8" s="158">
        <v>102</v>
      </c>
      <c r="X8" s="734">
        <f t="shared" si="0"/>
        <v>0.88100144294862992</v>
      </c>
      <c r="Y8" s="387">
        <f t="shared" si="14"/>
        <v>4.0506358675751883</v>
      </c>
      <c r="Z8" s="387">
        <f t="shared" si="15"/>
        <v>1.3490841126168898E-2</v>
      </c>
      <c r="AA8" s="473">
        <f t="shared" si="8"/>
        <v>-0.95304782952565503</v>
      </c>
      <c r="AB8" s="478">
        <f t="shared" si="9"/>
        <v>0.13477983709309083</v>
      </c>
      <c r="AC8" s="108">
        <v>1</v>
      </c>
      <c r="AD8" s="159">
        <f t="shared" si="10"/>
        <v>1</v>
      </c>
      <c r="AE8" s="160">
        <v>130</v>
      </c>
      <c r="AF8" s="160">
        <v>12</v>
      </c>
      <c r="AG8" s="160">
        <v>2.1</v>
      </c>
      <c r="AH8" s="303">
        <f t="shared" si="3"/>
        <v>35.359111207990018</v>
      </c>
      <c r="AI8" s="536">
        <f t="shared" si="11"/>
        <v>1.2863681491521098E-2</v>
      </c>
      <c r="AJ8" s="536"/>
      <c r="AK8" s="536"/>
      <c r="AL8" s="536"/>
      <c r="AM8" s="536"/>
      <c r="AN8" s="536">
        <f t="shared" si="12"/>
        <v>5.9992105971541781E-3</v>
      </c>
      <c r="AO8" s="537">
        <f t="shared" si="13"/>
        <v>1.4193830677597554E-2</v>
      </c>
      <c r="AP8" s="158">
        <v>188</v>
      </c>
      <c r="AQ8" s="158">
        <v>2</v>
      </c>
      <c r="AR8" s="234"/>
      <c r="AS8" s="162"/>
      <c r="AT8" s="652"/>
      <c r="AU8" s="539"/>
      <c r="AW8" s="162"/>
    </row>
    <row r="9" spans="1:68" ht="15" customHeight="1" x14ac:dyDescent="0.15">
      <c r="A9" s="780" t="str">
        <f>'r-in'!A12</f>
        <v>151_A</v>
      </c>
      <c r="B9" s="691" t="s">
        <v>915</v>
      </c>
      <c r="C9" s="162">
        <f>'r-in'!P12</f>
        <v>4452.1548208781714</v>
      </c>
      <c r="D9" s="162">
        <f>'r-in'!Q12</f>
        <v>3.5787945902920617</v>
      </c>
      <c r="E9" s="81">
        <f>'r-in'!R12</f>
        <v>1739570.0308790377</v>
      </c>
      <c r="F9" s="162">
        <f>'r-in'!S12</f>
        <v>0.61127024425909005</v>
      </c>
      <c r="G9" s="81">
        <f>'r-in'!T12</f>
        <v>3747.9971843061057</v>
      </c>
      <c r="H9" s="162">
        <f>'r-in'!U12</f>
        <v>4.198638178355993</v>
      </c>
      <c r="I9" s="81">
        <f>'r-in'!V12</f>
        <v>4130.1301479724061</v>
      </c>
      <c r="J9" s="162">
        <f>'r-in'!W12</f>
        <v>2.9041721617522627</v>
      </c>
      <c r="K9" s="81">
        <f>'r-in'!X12</f>
        <v>7888862.767838384</v>
      </c>
      <c r="L9" s="162">
        <f>'r-in'!Y12</f>
        <v>0.61744393172230116</v>
      </c>
      <c r="M9" s="81">
        <f>'r-in'!Z12</f>
        <v>3318.9290391640893</v>
      </c>
      <c r="N9" s="162">
        <f>'r-in'!AA12</f>
        <v>7.1800884683621193</v>
      </c>
      <c r="O9" s="81">
        <f>'r-in'!AB12</f>
        <v>1701198.7686588517</v>
      </c>
      <c r="P9" s="162">
        <f>'r-in'!AC12</f>
        <v>0.62364160548607783</v>
      </c>
      <c r="Q9" s="81">
        <f>'r-in'!AD12</f>
        <v>7812272.8396895528</v>
      </c>
      <c r="R9" s="162">
        <f>'r-in'!AE12</f>
        <v>0.62378353479236581</v>
      </c>
      <c r="S9" s="157">
        <f>'r-in'!AF12</f>
        <v>4.5805445076142606</v>
      </c>
      <c r="T9" s="157">
        <f>'r-in'!AG12</f>
        <v>1.268851355591431E-2</v>
      </c>
      <c r="U9" s="695">
        <f>'r-in'!AH12</f>
        <v>4.5922152980099193</v>
      </c>
      <c r="V9" s="589">
        <f>'r-in'!AI12</f>
        <v>1.3050265929996075E-2</v>
      </c>
      <c r="W9" s="158">
        <v>151</v>
      </c>
      <c r="X9" s="734">
        <f t="shared" si="0"/>
        <v>0.88211761309670478</v>
      </c>
      <c r="Y9" s="387">
        <f t="shared" si="14"/>
        <v>4.0508739975066828</v>
      </c>
      <c r="Z9" s="387">
        <f t="shared" si="15"/>
        <v>1.268851355591431E-2</v>
      </c>
      <c r="AA9" s="473">
        <f t="shared" si="8"/>
        <v>-0.89431557363850445</v>
      </c>
      <c r="AB9" s="478">
        <f t="shared" si="9"/>
        <v>0.12677166020624853</v>
      </c>
      <c r="AC9" s="108">
        <v>1</v>
      </c>
      <c r="AD9" s="159">
        <f t="shared" si="10"/>
        <v>1</v>
      </c>
      <c r="AE9" s="160">
        <v>130</v>
      </c>
      <c r="AF9" s="160">
        <v>12</v>
      </c>
      <c r="AG9" s="160">
        <v>2.1</v>
      </c>
      <c r="AH9" s="303">
        <f t="shared" si="3"/>
        <v>35.105997035397401</v>
      </c>
      <c r="AI9" s="536">
        <f t="shared" si="11"/>
        <v>1.3137119436742497E-2</v>
      </c>
      <c r="AJ9" s="536"/>
      <c r="AK9" s="536"/>
      <c r="AL9" s="536"/>
      <c r="AM9" s="536"/>
      <c r="AN9" s="536">
        <f t="shared" si="12"/>
        <v>6.1304023211950897E-3</v>
      </c>
      <c r="AO9" s="537">
        <f t="shared" si="13"/>
        <v>1.4497094181764553E-2</v>
      </c>
      <c r="AP9" s="158">
        <v>189</v>
      </c>
      <c r="AQ9" s="158">
        <v>2</v>
      </c>
      <c r="AR9" s="568"/>
      <c r="AS9" s="576"/>
      <c r="AT9" s="660"/>
      <c r="AU9" s="576"/>
      <c r="AV9" s="736"/>
      <c r="AW9" s="660"/>
    </row>
    <row r="10" spans="1:68" ht="15" customHeight="1" x14ac:dyDescent="0.15">
      <c r="A10" s="780" t="str">
        <f>'r-in'!A13</f>
        <v>152_A</v>
      </c>
      <c r="B10" s="691" t="s">
        <v>915</v>
      </c>
      <c r="C10" s="162">
        <f>'r-in'!P13</f>
        <v>4334.3007085823019</v>
      </c>
      <c r="D10" s="162">
        <f>'r-in'!Q13</f>
        <v>3.9019718635809117</v>
      </c>
      <c r="E10" s="81">
        <f>'r-in'!R13</f>
        <v>1729109.3855055687</v>
      </c>
      <c r="F10" s="162">
        <f>'r-in'!S13</f>
        <v>0.62822283027897641</v>
      </c>
      <c r="G10" s="81">
        <f>'r-in'!T13</f>
        <v>4013.3589107519815</v>
      </c>
      <c r="H10" s="162">
        <f>'r-in'!U13</f>
        <v>3.435142378811884</v>
      </c>
      <c r="I10" s="81">
        <f>'r-in'!V13</f>
        <v>4187.5279234837499</v>
      </c>
      <c r="J10" s="162">
        <f>'r-in'!W13</f>
        <v>2.7137321213480101</v>
      </c>
      <c r="K10" s="81">
        <f>'r-in'!X13</f>
        <v>7842359.533493394</v>
      </c>
      <c r="L10" s="162">
        <f>'r-in'!Y13</f>
        <v>0.63789580560074988</v>
      </c>
      <c r="M10" s="81">
        <f>'r-in'!Z13</f>
        <v>3090.939281512678</v>
      </c>
      <c r="N10" s="162">
        <f>'r-in'!AA13</f>
        <v>9.049254872435009</v>
      </c>
      <c r="O10" s="81">
        <f>'r-in'!AB13</f>
        <v>1690004.499415226</v>
      </c>
      <c r="P10" s="162">
        <f>'r-in'!AC13</f>
        <v>0.64156073259851532</v>
      </c>
      <c r="Q10" s="81">
        <f>'r-in'!AD13</f>
        <v>7763234.2100834381</v>
      </c>
      <c r="R10" s="162">
        <f>'r-in'!AE13</f>
        <v>0.64401080654050857</v>
      </c>
      <c r="S10" s="157">
        <f>'r-in'!AF13</f>
        <v>4.5822509553990471</v>
      </c>
      <c r="T10" s="157">
        <f>'r-in'!AG13</f>
        <v>1.569407611745573E-2</v>
      </c>
      <c r="U10" s="695">
        <f>'r-in'!AH13</f>
        <v>4.5935589281553675</v>
      </c>
      <c r="V10" s="589">
        <f>'r-in'!AI13</f>
        <v>1.6010519831249771E-2</v>
      </c>
      <c r="W10" s="158">
        <v>152</v>
      </c>
      <c r="X10" s="734">
        <f t="shared" si="0"/>
        <v>0.88213775671048567</v>
      </c>
      <c r="Y10" s="387">
        <f t="shared" si="14"/>
        <v>4.0521517682003987</v>
      </c>
      <c r="Z10" s="387">
        <f t="shared" si="15"/>
        <v>1.569407611745573E-2</v>
      </c>
      <c r="AA10" s="473">
        <f t="shared" si="8"/>
        <v>-0.57916680222003247</v>
      </c>
      <c r="AB10" s="478">
        <f t="shared" si="9"/>
        <v>0.15684986629593833</v>
      </c>
      <c r="AC10" s="108">
        <v>1</v>
      </c>
      <c r="AD10" s="159">
        <f t="shared" si="10"/>
        <v>1</v>
      </c>
      <c r="AE10" s="160">
        <v>130</v>
      </c>
      <c r="AF10" s="160">
        <v>12</v>
      </c>
      <c r="AG10" s="160">
        <v>2.1</v>
      </c>
      <c r="AH10" s="303">
        <f t="shared" si="3"/>
        <v>34.904952126110608</v>
      </c>
      <c r="AI10" s="536">
        <f t="shared" si="11"/>
        <v>1.3180556519361205E-2</v>
      </c>
      <c r="AJ10" s="536"/>
      <c r="AK10" s="536"/>
      <c r="AL10" s="536"/>
      <c r="AM10" s="536"/>
      <c r="AN10" s="536">
        <f t="shared" si="12"/>
        <v>6.1497340369724447E-3</v>
      </c>
      <c r="AO10" s="537">
        <f t="shared" si="13"/>
        <v>1.4544631273620261E-2</v>
      </c>
      <c r="AP10" s="158">
        <v>190</v>
      </c>
      <c r="AQ10" s="158">
        <v>2</v>
      </c>
      <c r="AR10" s="234"/>
      <c r="AS10" s="162"/>
      <c r="AT10" s="652"/>
      <c r="AU10" s="539"/>
      <c r="AW10" s="162"/>
    </row>
    <row r="11" spans="1:68" ht="15" customHeight="1" x14ac:dyDescent="0.15">
      <c r="A11" s="780" t="str">
        <f>'r-in'!A14</f>
        <v>201_A</v>
      </c>
      <c r="B11" s="691" t="s">
        <v>915</v>
      </c>
      <c r="C11" s="162">
        <f>'r-in'!P14</f>
        <v>4381.8237198078114</v>
      </c>
      <c r="D11" s="162">
        <f>'r-in'!Q14</f>
        <v>4.5435961296388907</v>
      </c>
      <c r="E11" s="81">
        <f>'r-in'!R14</f>
        <v>1660598.4735076153</v>
      </c>
      <c r="F11" s="162">
        <f>'r-in'!S14</f>
        <v>0.61942990793074781</v>
      </c>
      <c r="G11" s="81">
        <f>'r-in'!T14</f>
        <v>3689.3245621228621</v>
      </c>
      <c r="H11" s="162">
        <f>'r-in'!U14</f>
        <v>4.9019413547042587</v>
      </c>
      <c r="I11" s="81">
        <f>'r-in'!V14</f>
        <v>4065.1306909192549</v>
      </c>
      <c r="J11" s="162">
        <f>'r-in'!W14</f>
        <v>3.1428664307974681</v>
      </c>
      <c r="K11" s="81">
        <f>'r-in'!X14</f>
        <v>7521143.4022877812</v>
      </c>
      <c r="L11" s="162">
        <f>'r-in'!Y14</f>
        <v>0.62683970343494422</v>
      </c>
      <c r="M11" s="81">
        <f>'r-in'!Z14</f>
        <v>3501.2992640192897</v>
      </c>
      <c r="N11" s="162">
        <f>'r-in'!AA14</f>
        <v>7.6706669624586823</v>
      </c>
      <c r="O11" s="81">
        <f>'r-in'!AB14</f>
        <v>1622805.2854756967</v>
      </c>
      <c r="P11" s="162">
        <f>'r-in'!AC14</f>
        <v>0.63262133066412019</v>
      </c>
      <c r="Q11" s="81">
        <f>'r-in'!AD14</f>
        <v>7443830.9738412183</v>
      </c>
      <c r="R11" s="162">
        <f>'r-in'!AE14</f>
        <v>0.63347120579947602</v>
      </c>
      <c r="S11" s="157">
        <f>'r-in'!AF14</f>
        <v>4.576439410517458</v>
      </c>
      <c r="T11" s="157">
        <f>'r-in'!AG14</f>
        <v>1.3331001238104939E-2</v>
      </c>
      <c r="U11" s="695">
        <f>'r-in'!AH14</f>
        <v>4.5869973794289516</v>
      </c>
      <c r="V11" s="589">
        <f>'r-in'!AI14</f>
        <v>1.5298023751741949E-2</v>
      </c>
      <c r="W11" s="158">
        <v>201</v>
      </c>
      <c r="X11" s="734">
        <f t="shared" si="0"/>
        <v>0.88289069478493676</v>
      </c>
      <c r="Y11" s="387">
        <f t="shared" si="14"/>
        <v>4.0498173033007117</v>
      </c>
      <c r="Z11" s="387">
        <f t="shared" si="15"/>
        <v>1.3331001238104939E-2</v>
      </c>
      <c r="AA11" s="473">
        <f t="shared" si="8"/>
        <v>-1.1549381426287919</v>
      </c>
      <c r="AB11" s="478">
        <f t="shared" si="9"/>
        <v>0.13315604756292121</v>
      </c>
      <c r="AC11" s="108">
        <v>1</v>
      </c>
      <c r="AD11" s="159">
        <f t="shared" si="10"/>
        <v>1</v>
      </c>
      <c r="AE11" s="160">
        <v>130</v>
      </c>
      <c r="AF11" s="160">
        <v>12</v>
      </c>
      <c r="AG11" s="160">
        <v>2.1</v>
      </c>
      <c r="AH11" s="303">
        <f t="shared" si="3"/>
        <v>34.317013409042495</v>
      </c>
      <c r="AI11" s="536">
        <f t="shared" si="11"/>
        <v>1.3450687146385342E-2</v>
      </c>
      <c r="AJ11" s="536"/>
      <c r="AK11" s="536"/>
      <c r="AL11" s="536"/>
      <c r="AM11" s="536"/>
      <c r="AN11" s="536">
        <f t="shared" si="12"/>
        <v>6.2802860718861354E-3</v>
      </c>
      <c r="AO11" s="537">
        <f t="shared" si="13"/>
        <v>1.4844627912300895E-2</v>
      </c>
      <c r="AP11" s="158">
        <v>191</v>
      </c>
      <c r="AQ11" s="158">
        <v>2</v>
      </c>
      <c r="AR11" s="568"/>
      <c r="AS11" s="576"/>
      <c r="AT11" s="660"/>
      <c r="AU11" s="576"/>
      <c r="AV11" s="736"/>
      <c r="AW11" s="660"/>
    </row>
    <row r="12" spans="1:68" ht="15" customHeight="1" x14ac:dyDescent="0.15">
      <c r="A12" s="780" t="str">
        <f>'r-in'!A15</f>
        <v>202_A</v>
      </c>
      <c r="B12" s="691" t="s">
        <v>915</v>
      </c>
      <c r="C12" s="162">
        <f>'r-in'!P15</f>
        <v>4377.2581510303853</v>
      </c>
      <c r="D12" s="162">
        <f>'r-in'!Q15</f>
        <v>3.918892504882372</v>
      </c>
      <c r="E12" s="81">
        <f>'r-in'!R15</f>
        <v>1671870.5909614149</v>
      </c>
      <c r="F12" s="162">
        <f>'r-in'!S15</f>
        <v>0.61427286722838381</v>
      </c>
      <c r="G12" s="81">
        <f>'r-in'!T15</f>
        <v>3381.1846000115838</v>
      </c>
      <c r="H12" s="162">
        <f>'r-in'!U15</f>
        <v>4.8305166070808481</v>
      </c>
      <c r="I12" s="81">
        <f>'r-in'!V15</f>
        <v>3921.7347812656003</v>
      </c>
      <c r="J12" s="162">
        <f>'r-in'!W15</f>
        <v>3.3060708175772331</v>
      </c>
      <c r="K12" s="81">
        <f>'r-in'!X15</f>
        <v>7572343.7532748664</v>
      </c>
      <c r="L12" s="162">
        <f>'r-in'!Y15</f>
        <v>0.62089203305749452</v>
      </c>
      <c r="M12" s="81">
        <f>'r-in'!Z15</f>
        <v>2915.6622893838671</v>
      </c>
      <c r="N12" s="162">
        <f>'r-in'!AA15</f>
        <v>7.6041589696308485</v>
      </c>
      <c r="O12" s="81">
        <f>'r-in'!AB15</f>
        <v>1634314.1483308736</v>
      </c>
      <c r="P12" s="162">
        <f>'r-in'!AC15</f>
        <v>0.62712650105370338</v>
      </c>
      <c r="Q12" s="81">
        <f>'r-in'!AD15</f>
        <v>7496280.7404981898</v>
      </c>
      <c r="R12" s="162">
        <f>'r-in'!AE15</f>
        <v>0.62703321234996678</v>
      </c>
      <c r="S12" s="157">
        <f>'r-in'!AF15</f>
        <v>4.5766232020937219</v>
      </c>
      <c r="T12" s="157">
        <f>'r-in'!AG15</f>
        <v>1.4729239308114397E-2</v>
      </c>
      <c r="U12" s="695">
        <f>'r-in'!AH15</f>
        <v>4.5868112233260572</v>
      </c>
      <c r="V12" s="589">
        <f>'r-in'!AI15</f>
        <v>1.4204689776154137E-2</v>
      </c>
      <c r="W12" s="158">
        <v>202</v>
      </c>
      <c r="X12" s="734">
        <f t="shared" si="0"/>
        <v>0.88290143003307853</v>
      </c>
      <c r="Y12" s="387">
        <f t="shared" si="14"/>
        <v>4.04970218836635</v>
      </c>
      <c r="Z12" s="387">
        <f t="shared" si="15"/>
        <v>1.4729239308114397E-2</v>
      </c>
      <c r="AA12" s="473">
        <f t="shared" si="8"/>
        <v>-1.1833300366629329</v>
      </c>
      <c r="AB12" s="478">
        <f t="shared" si="9"/>
        <v>0.14711809756828842</v>
      </c>
      <c r="AC12" s="108">
        <v>1</v>
      </c>
      <c r="AD12" s="159">
        <f t="shared" si="10"/>
        <v>1</v>
      </c>
      <c r="AE12" s="160">
        <v>130</v>
      </c>
      <c r="AF12" s="160">
        <v>12</v>
      </c>
      <c r="AG12" s="160">
        <v>2.1</v>
      </c>
      <c r="AH12" s="303">
        <f t="shared" si="3"/>
        <v>34.577629078101523</v>
      </c>
      <c r="AI12" s="536">
        <f t="shared" si="11"/>
        <v>1.3403243511600094E-2</v>
      </c>
      <c r="AJ12" s="536"/>
      <c r="AK12" s="536"/>
      <c r="AL12" s="536"/>
      <c r="AM12" s="536"/>
      <c r="AN12" s="536">
        <f t="shared" si="12"/>
        <v>6.2582766409186802E-3</v>
      </c>
      <c r="AO12" s="537">
        <f t="shared" si="13"/>
        <v>1.479232784741869E-2</v>
      </c>
      <c r="AP12" s="158">
        <v>192</v>
      </c>
      <c r="AQ12" s="158">
        <v>2</v>
      </c>
      <c r="AR12" s="234"/>
      <c r="AS12" s="162"/>
      <c r="AT12" s="652"/>
      <c r="AU12" s="539"/>
      <c r="AW12" s="162"/>
    </row>
    <row r="13" spans="1:68" ht="15" customHeight="1" x14ac:dyDescent="0.15">
      <c r="A13" s="780" t="str">
        <f>'r-in'!A16</f>
        <v>251_A</v>
      </c>
      <c r="B13" s="691" t="s">
        <v>915</v>
      </c>
      <c r="C13" s="162">
        <f>'r-in'!P16</f>
        <v>4278.9320753036873</v>
      </c>
      <c r="D13" s="162">
        <f>'r-in'!Q16</f>
        <v>3.9105472891769533</v>
      </c>
      <c r="E13" s="81">
        <f>'r-in'!R16</f>
        <v>1652551.4958713762</v>
      </c>
      <c r="F13" s="162">
        <f>'r-in'!S16</f>
        <v>0.59527744437803487</v>
      </c>
      <c r="G13" s="81">
        <f>'r-in'!T16</f>
        <v>3607.1112659043592</v>
      </c>
      <c r="H13" s="162">
        <f>'r-in'!U16</f>
        <v>5.4764305195181286</v>
      </c>
      <c r="I13" s="81">
        <f>'r-in'!V16</f>
        <v>3971.6956481717002</v>
      </c>
      <c r="J13" s="162">
        <f>'r-in'!W16</f>
        <v>3.434708383705428</v>
      </c>
      <c r="K13" s="81">
        <f>'r-in'!X16</f>
        <v>7483220.5430033831</v>
      </c>
      <c r="L13" s="162">
        <f>'r-in'!Y16</f>
        <v>0.60315410688004767</v>
      </c>
      <c r="M13" s="81">
        <f>'r-in'!Z16</f>
        <v>2590.355547574512</v>
      </c>
      <c r="N13" s="162">
        <f>'r-in'!AA16</f>
        <v>8.071360905480681</v>
      </c>
      <c r="O13" s="81">
        <f>'r-in'!AB16</f>
        <v>1614152.7990017503</v>
      </c>
      <c r="P13" s="162">
        <f>'r-in'!AC16</f>
        <v>0.60864202046452842</v>
      </c>
      <c r="Q13" s="81">
        <f>'r-in'!AD16</f>
        <v>7403839.5143200504</v>
      </c>
      <c r="R13" s="162">
        <f>'r-in'!AE16</f>
        <v>0.61023841976544335</v>
      </c>
      <c r="S13" s="157">
        <f>'r-in'!AF16</f>
        <v>4.5759185496667998</v>
      </c>
      <c r="T13" s="157">
        <f>'r-in'!AG16</f>
        <v>1.4339969415430894E-2</v>
      </c>
      <c r="U13" s="695">
        <f>'r-in'!AH16</f>
        <v>4.5867939317509538</v>
      </c>
      <c r="V13" s="589">
        <f>'r-in'!AI16</f>
        <v>1.7420046080322642E-2</v>
      </c>
      <c r="W13" s="158">
        <v>251</v>
      </c>
      <c r="X13" s="734">
        <f t="shared" si="0"/>
        <v>0.88333400285270591</v>
      </c>
      <c r="Y13" s="387">
        <f t="shared" si="14"/>
        <v>4.0516710439940713</v>
      </c>
      <c r="Z13" s="387">
        <f t="shared" si="15"/>
        <v>1.4339969415430894E-2</v>
      </c>
      <c r="AA13" s="473">
        <f t="shared" si="8"/>
        <v>-0.69773239756532046</v>
      </c>
      <c r="AB13" s="478">
        <f t="shared" si="9"/>
        <v>0.14329963954184954</v>
      </c>
      <c r="AC13" s="108">
        <v>1</v>
      </c>
      <c r="AD13" s="159">
        <f t="shared" si="10"/>
        <v>1</v>
      </c>
      <c r="AE13" s="160">
        <v>130</v>
      </c>
      <c r="AF13" s="160">
        <v>12</v>
      </c>
      <c r="AG13" s="160">
        <v>2.1</v>
      </c>
      <c r="AH13" s="303">
        <f t="shared" si="3"/>
        <v>35.404164023947558</v>
      </c>
      <c r="AI13" s="536">
        <f t="shared" si="11"/>
        <v>1.3486689420224067E-2</v>
      </c>
      <c r="AJ13" s="536"/>
      <c r="AK13" s="536"/>
      <c r="AL13" s="536"/>
      <c r="AM13" s="536"/>
      <c r="AN13" s="536">
        <f t="shared" si="12"/>
        <v>6.2972245512128268E-3</v>
      </c>
      <c r="AO13" s="537">
        <f t="shared" si="13"/>
        <v>1.4884415627292237E-2</v>
      </c>
      <c r="AP13" s="158">
        <v>193</v>
      </c>
      <c r="AQ13" s="158">
        <v>2</v>
      </c>
      <c r="AR13" s="568"/>
      <c r="AS13" s="576"/>
      <c r="AT13" s="660"/>
      <c r="AU13" s="576"/>
      <c r="AV13" s="736"/>
      <c r="AW13" s="660"/>
    </row>
    <row r="14" spans="1:68" ht="15" customHeight="1" x14ac:dyDescent="0.15">
      <c r="A14" s="780" t="str">
        <f>'r-in'!A17</f>
        <v>252_A</v>
      </c>
      <c r="B14" s="691" t="s">
        <v>915</v>
      </c>
      <c r="C14" s="162">
        <f>'r-in'!P17</f>
        <v>4351.8273569502608</v>
      </c>
      <c r="D14" s="162">
        <f>'r-in'!Q17</f>
        <v>3.4523767147766651</v>
      </c>
      <c r="E14" s="81">
        <f>'r-in'!R17</f>
        <v>1665758.9587009817</v>
      </c>
      <c r="F14" s="162">
        <f>'r-in'!S17</f>
        <v>0.58562731960491277</v>
      </c>
      <c r="G14" s="81">
        <f>'r-in'!T17</f>
        <v>3513.0714781445072</v>
      </c>
      <c r="H14" s="162">
        <f>'r-in'!U17</f>
        <v>4.2588396020621913</v>
      </c>
      <c r="I14" s="81">
        <f>'r-in'!V17</f>
        <v>3968.2483492225388</v>
      </c>
      <c r="J14" s="162">
        <f>'r-in'!W17</f>
        <v>2.7383478627250906</v>
      </c>
      <c r="K14" s="81">
        <f>'r-in'!X17</f>
        <v>7543488.3072376214</v>
      </c>
      <c r="L14" s="162">
        <f>'r-in'!Y17</f>
        <v>0.59177878481272994</v>
      </c>
      <c r="M14" s="81">
        <f>'r-in'!Z17</f>
        <v>2883.2997251540869</v>
      </c>
      <c r="N14" s="162">
        <f>'r-in'!AA17</f>
        <v>8.0699370339407785</v>
      </c>
      <c r="O14" s="81">
        <f>'r-in'!AB17</f>
        <v>1627517.6394851878</v>
      </c>
      <c r="P14" s="162">
        <f>'r-in'!AC17</f>
        <v>0.59772444764152244</v>
      </c>
      <c r="Q14" s="81">
        <f>'r-in'!AD17</f>
        <v>7464893.900328205</v>
      </c>
      <c r="R14" s="162">
        <f>'r-in'!AE17</f>
        <v>0.59753624114222403</v>
      </c>
      <c r="S14" s="157">
        <f>'r-in'!AF17</f>
        <v>4.5756779517696833</v>
      </c>
      <c r="T14" s="157">
        <f>'r-in'!AG17</f>
        <v>1.4823402870125081E-2</v>
      </c>
      <c r="U14" s="695">
        <f>'r-in'!AH17</f>
        <v>4.5866852414748562</v>
      </c>
      <c r="V14" s="589">
        <f>'r-in'!AI17</f>
        <v>1.6302006730940847E-2</v>
      </c>
      <c r="W14" s="158">
        <v>252</v>
      </c>
      <c r="X14" s="734">
        <f t="shared" si="0"/>
        <v>0.88334358445941763</v>
      </c>
      <c r="Y14" s="387">
        <f t="shared" si="14"/>
        <v>4.0516189819915089</v>
      </c>
      <c r="Z14" s="387">
        <f t="shared" si="15"/>
        <v>1.4823402870125081E-2</v>
      </c>
      <c r="AA14" s="473">
        <f t="shared" si="8"/>
        <v>-0.71057294573706464</v>
      </c>
      <c r="AB14" s="478">
        <f t="shared" si="9"/>
        <v>0.14812869761093861</v>
      </c>
      <c r="AC14" s="108">
        <v>1</v>
      </c>
      <c r="AD14" s="159">
        <f t="shared" si="10"/>
        <v>1</v>
      </c>
      <c r="AE14" s="160">
        <v>130</v>
      </c>
      <c r="AF14" s="160">
        <v>12</v>
      </c>
      <c r="AG14" s="160">
        <v>2.1</v>
      </c>
      <c r="AH14" s="303">
        <f t="shared" si="3"/>
        <v>35.732335010516103</v>
      </c>
      <c r="AI14" s="536">
        <f t="shared" si="11"/>
        <v>1.3431200307751301E-2</v>
      </c>
      <c r="AJ14" s="536"/>
      <c r="AK14" s="536"/>
      <c r="AL14" s="536"/>
      <c r="AM14" s="536"/>
      <c r="AN14" s="536">
        <f t="shared" si="12"/>
        <v>6.2714195931006722E-3</v>
      </c>
      <c r="AO14" s="537">
        <f t="shared" si="13"/>
        <v>1.4823219806090228E-2</v>
      </c>
      <c r="AP14" s="158">
        <v>194</v>
      </c>
      <c r="AQ14" s="158">
        <v>2</v>
      </c>
      <c r="AR14" s="234"/>
      <c r="AS14" s="162"/>
      <c r="AT14" s="652"/>
      <c r="AU14" s="539"/>
      <c r="AW14" s="162"/>
    </row>
    <row r="15" spans="1:68" ht="15" customHeight="1" x14ac:dyDescent="0.15">
      <c r="A15" s="780" t="str">
        <f>'r-in'!A18</f>
        <v>301_A</v>
      </c>
      <c r="B15" s="691" t="s">
        <v>915</v>
      </c>
      <c r="C15" s="162">
        <f>'r-in'!P18</f>
        <v>3650.8339837584144</v>
      </c>
      <c r="D15" s="162">
        <f>'r-in'!Q18</f>
        <v>5.2297923969546822</v>
      </c>
      <c r="E15" s="81">
        <f>'r-in'!R18</f>
        <v>1502574.3814864077</v>
      </c>
      <c r="F15" s="162">
        <f>'r-in'!S18</f>
        <v>0.56550375818528675</v>
      </c>
      <c r="G15" s="81">
        <f>'r-in'!T18</f>
        <v>3004.8584573227722</v>
      </c>
      <c r="H15" s="162">
        <f>'r-in'!U18</f>
        <v>5.3906714367947117</v>
      </c>
      <c r="I15" s="81">
        <f>'r-in'!V18</f>
        <v>3355.4170958322443</v>
      </c>
      <c r="J15" s="162">
        <f>'r-in'!W18</f>
        <v>3.8244238557314283</v>
      </c>
      <c r="K15" s="81">
        <f>'r-in'!X18</f>
        <v>6790704.6628286671</v>
      </c>
      <c r="L15" s="162">
        <f>'r-in'!Y18</f>
        <v>0.57192613563879546</v>
      </c>
      <c r="M15" s="81">
        <f>'r-in'!Z18</f>
        <v>3068.0106074293121</v>
      </c>
      <c r="N15" s="162">
        <f>'r-in'!AA18</f>
        <v>9.1890658273022634</v>
      </c>
      <c r="O15" s="81">
        <f>'r-in'!AB18</f>
        <v>1468616.6126204287</v>
      </c>
      <c r="P15" s="162">
        <f>'r-in'!AC18</f>
        <v>0.57820720976359596</v>
      </c>
      <c r="Q15" s="81">
        <f>'r-in'!AD18</f>
        <v>6722775.7045535119</v>
      </c>
      <c r="R15" s="162">
        <f>'r-in'!AE18</f>
        <v>0.57844968316661427</v>
      </c>
      <c r="S15" s="157">
        <f>'r-in'!AF18</f>
        <v>4.5679400328734978</v>
      </c>
      <c r="T15" s="157">
        <f>'r-in'!AG18</f>
        <v>1.5046053589759054E-2</v>
      </c>
      <c r="U15" s="695">
        <f>'r-in'!AH18</f>
        <v>4.57762340161214</v>
      </c>
      <c r="V15" s="589">
        <f>'r-in'!AI18</f>
        <v>1.3786685115682097E-2</v>
      </c>
      <c r="W15" s="158">
        <v>301</v>
      </c>
      <c r="X15" s="734">
        <f t="shared" si="0"/>
        <v>0.88422320014278544</v>
      </c>
      <c r="Y15" s="387">
        <f t="shared" si="14"/>
        <v>4.0476408132219897</v>
      </c>
      <c r="Z15" s="387">
        <f t="shared" si="15"/>
        <v>1.5046053589759054E-2</v>
      </c>
      <c r="AA15" s="473">
        <f t="shared" si="8"/>
        <v>-1.6917466464447806</v>
      </c>
      <c r="AB15" s="478">
        <f t="shared" si="9"/>
        <v>0.15020599479065311</v>
      </c>
      <c r="AC15" s="108">
        <v>1</v>
      </c>
      <c r="AD15" s="159">
        <f t="shared" si="10"/>
        <v>1</v>
      </c>
      <c r="AE15" s="160">
        <v>130</v>
      </c>
      <c r="AF15" s="160">
        <v>12</v>
      </c>
      <c r="AG15" s="160">
        <v>2.1</v>
      </c>
      <c r="AH15" s="303">
        <f t="shared" si="3"/>
        <v>34.616064943787265</v>
      </c>
      <c r="AI15" s="536">
        <f t="shared" si="11"/>
        <v>1.4139155145802671E-2</v>
      </c>
      <c r="AJ15" s="536"/>
      <c r="AK15" s="536"/>
      <c r="AL15" s="536"/>
      <c r="AM15" s="536"/>
      <c r="AN15" s="536">
        <f t="shared" si="12"/>
        <v>6.608507195948298E-3</v>
      </c>
      <c r="AO15" s="537">
        <f t="shared" si="13"/>
        <v>1.5607308403308323E-2</v>
      </c>
      <c r="AP15" s="158">
        <v>195</v>
      </c>
      <c r="AQ15" s="158">
        <v>2</v>
      </c>
      <c r="AR15" s="568"/>
      <c r="AS15" s="576"/>
      <c r="AT15" s="660"/>
      <c r="AU15" s="576"/>
      <c r="AV15" s="736"/>
      <c r="AW15" s="660"/>
    </row>
    <row r="16" spans="1:68" ht="15" customHeight="1" x14ac:dyDescent="0.15">
      <c r="A16" s="780" t="str">
        <f>'r-in'!A19</f>
        <v>302_A</v>
      </c>
      <c r="B16" s="691" t="s">
        <v>915</v>
      </c>
      <c r="C16" s="162">
        <f>'r-in'!P19</f>
        <v>3681.342837898595</v>
      </c>
      <c r="D16" s="162">
        <f>'r-in'!Q19</f>
        <v>4.9890286440730423</v>
      </c>
      <c r="E16" s="81">
        <f>'r-in'!R19</f>
        <v>1516926.809571902</v>
      </c>
      <c r="F16" s="162">
        <f>'r-in'!S19</f>
        <v>0.57713590238727364</v>
      </c>
      <c r="G16" s="81">
        <f>'r-in'!T19</f>
        <v>3071.188103766865</v>
      </c>
      <c r="H16" s="162">
        <f>'r-in'!U19</f>
        <v>5.7273712600028395</v>
      </c>
      <c r="I16" s="81">
        <f>'r-in'!V19</f>
        <v>3402.30747922921</v>
      </c>
      <c r="J16" s="162">
        <f>'r-in'!W19</f>
        <v>3.9369493372978805</v>
      </c>
      <c r="K16" s="81">
        <f>'r-in'!X19</f>
        <v>6856071.6429175939</v>
      </c>
      <c r="L16" s="162">
        <f>'r-in'!Y19</f>
        <v>0.58456609833444828</v>
      </c>
      <c r="M16" s="81">
        <f>'r-in'!Z19</f>
        <v>3393.9659780256566</v>
      </c>
      <c r="N16" s="162">
        <f>'r-in'!AA19</f>
        <v>6.407107062779632</v>
      </c>
      <c r="O16" s="81">
        <f>'r-in'!AB19</f>
        <v>1482549.8234195258</v>
      </c>
      <c r="P16" s="162">
        <f>'r-in'!AC19</f>
        <v>0.5885118780764178</v>
      </c>
      <c r="Q16" s="81">
        <f>'r-in'!AD19</f>
        <v>6785947.5710433638</v>
      </c>
      <c r="R16" s="162">
        <f>'r-in'!AE19</f>
        <v>0.58983963599379563</v>
      </c>
      <c r="S16" s="157">
        <f>'r-in'!AF19</f>
        <v>4.56710605718827</v>
      </c>
      <c r="T16" s="157">
        <f>'r-in'!AG19</f>
        <v>1.7571328515385617E-2</v>
      </c>
      <c r="U16" s="695">
        <f>'r-in'!AH19</f>
        <v>4.5771886521854563</v>
      </c>
      <c r="V16" s="589">
        <f>'r-in'!AI19</f>
        <v>1.8106168136133468E-2</v>
      </c>
      <c r="W16" s="158">
        <v>302</v>
      </c>
      <c r="X16" s="734">
        <f t="shared" si="0"/>
        <v>0.88425471939688638</v>
      </c>
      <c r="Y16" s="387">
        <f t="shared" si="14"/>
        <v>4.0474006672648635</v>
      </c>
      <c r="Z16" s="387">
        <f t="shared" si="15"/>
        <v>1.7571328515385617E-2</v>
      </c>
      <c r="AA16" s="473">
        <f t="shared" si="8"/>
        <v>-1.7509761339589147</v>
      </c>
      <c r="AB16" s="478">
        <f t="shared" si="9"/>
        <v>0.17540561538509358</v>
      </c>
      <c r="AC16" s="108">
        <v>1</v>
      </c>
      <c r="AD16" s="159">
        <f t="shared" si="10"/>
        <v>1</v>
      </c>
      <c r="AE16" s="160">
        <v>130</v>
      </c>
      <c r="AF16" s="160">
        <v>12</v>
      </c>
      <c r="AG16" s="160">
        <v>2.1</v>
      </c>
      <c r="AH16" s="303">
        <f t="shared" si="3"/>
        <v>35.014350824625382</v>
      </c>
      <c r="AI16" s="536">
        <f t="shared" si="11"/>
        <v>1.407255742296502E-2</v>
      </c>
      <c r="AJ16" s="536"/>
      <c r="AK16" s="536"/>
      <c r="AL16" s="536"/>
      <c r="AM16" s="536"/>
      <c r="AN16" s="536">
        <f t="shared" si="12"/>
        <v>6.5776752551919577E-3</v>
      </c>
      <c r="AO16" s="537">
        <f t="shared" si="13"/>
        <v>1.5533920438363668E-2</v>
      </c>
      <c r="AP16" s="158">
        <v>196</v>
      </c>
      <c r="AQ16" s="158">
        <v>2</v>
      </c>
      <c r="AR16" s="234"/>
      <c r="AS16" s="162"/>
      <c r="AT16" s="652"/>
      <c r="AU16" s="539"/>
      <c r="AW16" s="162"/>
    </row>
    <row r="17" spans="1:81" ht="15" customHeight="1" x14ac:dyDescent="0.2">
      <c r="B17" s="153"/>
      <c r="C17" s="81"/>
      <c r="D17" s="81"/>
      <c r="E17" s="81"/>
      <c r="F17" s="81"/>
      <c r="G17" s="81"/>
      <c r="H17" s="155"/>
      <c r="I17" s="81"/>
      <c r="J17" s="162"/>
      <c r="K17" s="81"/>
      <c r="L17" s="162"/>
      <c r="M17" s="81"/>
      <c r="N17" s="162"/>
      <c r="O17" s="81"/>
      <c r="P17" s="162"/>
      <c r="Q17" s="81"/>
      <c r="R17" s="162"/>
      <c r="S17" s="162"/>
      <c r="T17" s="162"/>
      <c r="U17" s="162"/>
      <c r="V17" s="162"/>
      <c r="W17" s="22"/>
      <c r="X17" s="157"/>
      <c r="Y17" s="157"/>
      <c r="Z17" s="162"/>
      <c r="AA17" s="162"/>
      <c r="AC17" s="162"/>
      <c r="AD17" s="162"/>
      <c r="AE17" s="155"/>
      <c r="AG17" s="81"/>
      <c r="AH17" s="162"/>
      <c r="AI17" s="235"/>
      <c r="AJ17" s="235"/>
      <c r="AK17" s="235"/>
      <c r="AL17" s="235"/>
      <c r="AM17" s="235"/>
      <c r="AU17" s="585" t="s">
        <v>494</v>
      </c>
      <c r="AV17" s="585" t="s">
        <v>521</v>
      </c>
      <c r="AW17" s="593" t="s">
        <v>520</v>
      </c>
      <c r="AX17" s="164" t="s">
        <v>520</v>
      </c>
      <c r="AY17" s="164" t="s">
        <v>522</v>
      </c>
      <c r="AZ17" s="164" t="s">
        <v>523</v>
      </c>
      <c r="BD17" s="641" t="s">
        <v>502</v>
      </c>
      <c r="BE17" s="642">
        <v>1.3</v>
      </c>
      <c r="BF17" s="643">
        <v>-2.7</v>
      </c>
      <c r="BG17" s="643">
        <v>0.2</v>
      </c>
      <c r="BH17" s="574"/>
      <c r="BI17" s="562"/>
      <c r="BJ17" s="475"/>
      <c r="BK17" s="161"/>
      <c r="BL17" s="726"/>
      <c r="BM17" s="726"/>
      <c r="BN17" s="727"/>
      <c r="BO17" s="727"/>
      <c r="BP17" s="727"/>
      <c r="BQ17" s="727"/>
      <c r="BR17" s="728"/>
      <c r="BS17" s="233"/>
      <c r="BT17" s="727"/>
      <c r="BV17" s="727"/>
      <c r="BW17" s="737"/>
      <c r="BY17" s="233"/>
    </row>
    <row r="18" spans="1:81" ht="15" customHeight="1" x14ac:dyDescent="0.2">
      <c r="A18" s="236"/>
      <c r="B18" s="182"/>
      <c r="C18" s="14"/>
      <c r="J18" s="22"/>
      <c r="K18" s="81"/>
      <c r="L18" s="22"/>
      <c r="M18" s="81"/>
      <c r="N18" s="22"/>
      <c r="O18" s="81"/>
      <c r="P18" s="22"/>
      <c r="Q18" s="81"/>
      <c r="R18" s="22"/>
      <c r="S18" s="455">
        <f>ARxWtdAv(S3:T16)</f>
        <v>4.582701723854238</v>
      </c>
      <c r="T18" s="456">
        <f>ExcsScatter(S3:T16)</f>
        <v>0.16071179761013016</v>
      </c>
      <c r="U18" s="455">
        <f>ARxWtdAv(U3:V16)</f>
        <v>4.5942118594166246</v>
      </c>
      <c r="V18" s="456">
        <f>ExcsScatter(U3:V16)</f>
        <v>0.17672996998643623</v>
      </c>
      <c r="W18" s="457"/>
      <c r="X18" s="546">
        <f>AGaverage(X3:X16)</f>
        <v>0.88212211795732265</v>
      </c>
      <c r="Y18" s="546">
        <f>AGaverage(Y3:Y16)</f>
        <v>4.0505860114982202</v>
      </c>
      <c r="Z18" s="517">
        <f>ExcsScatter(Y3:Z16)/2</f>
        <v>2.0235916013653682E-2</v>
      </c>
      <c r="AA18" s="455">
        <f>AGaverage(AA3:AA16)</f>
        <v>-0.9653443092313807</v>
      </c>
      <c r="AB18" s="455"/>
      <c r="AD18" s="22"/>
      <c r="AE18" s="22"/>
      <c r="AF18" s="22"/>
      <c r="AG18" s="22"/>
      <c r="AH18" s="480">
        <v>35</v>
      </c>
      <c r="AI18" s="22"/>
      <c r="AJ18" s="22"/>
      <c r="AK18" s="22"/>
      <c r="AL18" s="22"/>
      <c r="AM18" s="22"/>
      <c r="AN18" s="22"/>
      <c r="AO18" s="22"/>
      <c r="AU18" s="22"/>
      <c r="AV18" s="22"/>
      <c r="AX18" s="9"/>
      <c r="BA18" s="22"/>
      <c r="BD18" s="644" t="s">
        <v>495</v>
      </c>
      <c r="BE18" s="645">
        <v>1.5</v>
      </c>
      <c r="BF18" s="554">
        <v>-5.85</v>
      </c>
      <c r="BG18" s="554">
        <v>0.67</v>
      </c>
      <c r="BH18" s="475"/>
      <c r="BI18" s="475">
        <v>13.3</v>
      </c>
      <c r="BJ18" s="475">
        <v>10.4</v>
      </c>
      <c r="BK18" s="161"/>
      <c r="BL18" s="724" t="s">
        <v>924</v>
      </c>
      <c r="BM18" s="725">
        <v>23.8</v>
      </c>
      <c r="BN18" s="724">
        <v>-8.52</v>
      </c>
      <c r="BO18" s="725"/>
      <c r="BP18" s="634"/>
      <c r="BQ18" s="634"/>
      <c r="BR18" s="634"/>
      <c r="BS18" s="722"/>
      <c r="BT18" s="721"/>
      <c r="BU18" s="721"/>
      <c r="BV18" s="721"/>
      <c r="BW18" s="634"/>
      <c r="BX18" s="634"/>
      <c r="BY18" s="722"/>
      <c r="BZ18" s="162"/>
    </row>
    <row r="19" spans="1:81" ht="15" customHeight="1" x14ac:dyDescent="0.2">
      <c r="A19" s="237"/>
      <c r="B19" s="755"/>
      <c r="C19" s="14"/>
      <c r="J19" s="9"/>
      <c r="K19" s="9"/>
      <c r="L19" s="9"/>
      <c r="M19" s="9"/>
      <c r="N19" s="9"/>
      <c r="O19" s="9"/>
      <c r="P19" s="9"/>
      <c r="Q19" s="9"/>
      <c r="R19" s="9"/>
      <c r="S19" s="459">
        <f>AGstdv(S3:S16, TRUE)</f>
        <v>0.16695751324095673</v>
      </c>
      <c r="T19" s="458"/>
      <c r="U19" s="459">
        <f>AGstdv(U3:U16, TRUE)</f>
        <v>0.18355077407573547</v>
      </c>
      <c r="V19" s="20"/>
      <c r="W19" s="20"/>
      <c r="X19" s="458"/>
      <c r="Y19" s="471">
        <f>AGstdv(Y3:Y16, TRUE)/(COUNT(Y3:Y16)-1)^0.5</f>
        <v>1.1833323714517417E-2</v>
      </c>
      <c r="Z19" s="518">
        <f>IF(IF(Z18=0,Y19,Z18)&lt;0.01,0.01,IF(Z18=0,Y19,Z18))</f>
        <v>2.0235916013653682E-2</v>
      </c>
      <c r="AA19" s="471">
        <f>STDEV(AA3:AA16)/(COUNT(AA3:AA16)-1)^0.5</f>
        <v>0.11821900482811078</v>
      </c>
      <c r="AB19" s="471"/>
      <c r="AD19" s="11"/>
      <c r="AE19" s="11"/>
      <c r="AF19" s="11"/>
      <c r="AG19" s="11"/>
      <c r="AH19" s="11"/>
      <c r="AI19" s="11"/>
      <c r="AJ19" s="11"/>
      <c r="AK19" s="11"/>
      <c r="AL19" s="11"/>
      <c r="AM19" s="11"/>
      <c r="AN19" s="11"/>
      <c r="AO19" s="11"/>
      <c r="AU19" s="164">
        <v>90</v>
      </c>
      <c r="AV19" s="22">
        <f>AU19/2^2*3.14</f>
        <v>70.650000000000006</v>
      </c>
      <c r="AW19" s="594">
        <f>100*62400</f>
        <v>6240000</v>
      </c>
      <c r="AX19" s="9">
        <f>AW19/38/0.5</f>
        <v>328421.05263157893</v>
      </c>
      <c r="AZ19" s="22"/>
      <c r="BA19" s="22"/>
      <c r="BD19" s="552" t="s">
        <v>491</v>
      </c>
      <c r="BE19" s="86">
        <v>50</v>
      </c>
      <c r="BF19" s="554">
        <v>10.1</v>
      </c>
      <c r="BG19" s="554">
        <v>0.3</v>
      </c>
      <c r="BH19" s="475"/>
      <c r="BI19" s="562">
        <v>7.2</v>
      </c>
      <c r="BJ19" s="475">
        <v>13.3</v>
      </c>
      <c r="BK19" s="161"/>
      <c r="BL19" s="53" t="s">
        <v>925</v>
      </c>
      <c r="BM19" s="725">
        <v>29.5</v>
      </c>
      <c r="BN19" s="725">
        <v>7.27</v>
      </c>
      <c r="BO19" s="725"/>
      <c r="BP19" s="634"/>
      <c r="BQ19" s="634"/>
      <c r="BR19" s="634"/>
      <c r="BS19" s="722"/>
      <c r="BT19" s="721"/>
      <c r="BU19" s="721"/>
      <c r="BV19" s="721"/>
      <c r="BW19" s="634"/>
      <c r="BX19" s="634"/>
      <c r="BY19" s="722"/>
      <c r="BZ19" s="162"/>
    </row>
    <row r="20" spans="1:81" ht="15" customHeight="1" x14ac:dyDescent="0.2">
      <c r="A20" s="237"/>
      <c r="B20" s="755"/>
      <c r="C20" s="156"/>
      <c r="Y20" s="155">
        <f>STDEV(Y3:Y16)*1000/Y18</f>
        <v>0.42665655411858339</v>
      </c>
      <c r="Z20" s="516" t="s">
        <v>501</v>
      </c>
      <c r="AA20" s="471"/>
      <c r="AF20" s="22"/>
      <c r="AG20" s="155"/>
      <c r="AI20" s="22"/>
      <c r="AJ20" s="22"/>
      <c r="AK20" s="22"/>
      <c r="AL20" s="22"/>
      <c r="AM20" s="22"/>
      <c r="AN20" s="22"/>
      <c r="AO20" s="22"/>
      <c r="AQ20" s="10"/>
      <c r="AR20" s="10"/>
      <c r="AS20" s="10"/>
      <c r="AT20" s="654"/>
      <c r="AU20" s="164">
        <v>50</v>
      </c>
      <c r="AV20" s="156">
        <f>AU20/2^2*3.14/AV19</f>
        <v>0.55555555555555547</v>
      </c>
      <c r="AW20" s="595">
        <f>AW19*AV20</f>
        <v>3466666.666666666</v>
      </c>
      <c r="AX20" s="9">
        <f>AW20/38/0.5</f>
        <v>182456.14035087716</v>
      </c>
      <c r="AY20" s="22">
        <v>3.4</v>
      </c>
      <c r="AZ20" s="162">
        <f>AY20/(10-1)^0.5</f>
        <v>1.1333333333333333</v>
      </c>
      <c r="BD20" s="552" t="s">
        <v>492</v>
      </c>
      <c r="BE20" s="86">
        <v>22</v>
      </c>
      <c r="BF20" s="554">
        <v>23.29</v>
      </c>
      <c r="BG20" s="554">
        <v>0.56999999999999995</v>
      </c>
      <c r="BH20" s="475"/>
      <c r="BI20" s="475">
        <v>7.1</v>
      </c>
      <c r="BJ20" s="475">
        <v>13.7</v>
      </c>
      <c r="BK20" s="161"/>
      <c r="BL20" s="724" t="s">
        <v>926</v>
      </c>
      <c r="BM20" s="724">
        <v>207</v>
      </c>
      <c r="BN20" s="724">
        <v>-1.61</v>
      </c>
      <c r="BO20" s="725"/>
      <c r="BP20" s="634"/>
      <c r="BQ20" s="634"/>
      <c r="BR20" s="634"/>
      <c r="BS20" s="651"/>
      <c r="BT20" s="721"/>
      <c r="BU20" s="651"/>
      <c r="BV20" s="721"/>
      <c r="BW20" s="634"/>
      <c r="BX20" s="634"/>
      <c r="BY20" s="722"/>
      <c r="BZ20" s="162"/>
    </row>
    <row r="21" spans="1:81" ht="15" customHeight="1" x14ac:dyDescent="0.2">
      <c r="A21" s="237"/>
      <c r="B21" s="230"/>
      <c r="C21" s="162"/>
      <c r="R21" s="157"/>
      <c r="T21" s="354" t="s">
        <v>6</v>
      </c>
      <c r="U21" s="487">
        <f>AV29</f>
        <v>4.0501500000000004</v>
      </c>
      <c r="AU21" s="164">
        <v>90</v>
      </c>
      <c r="AV21" s="22">
        <f>AU21/2^2*3.14</f>
        <v>70.650000000000006</v>
      </c>
      <c r="AW21" s="594">
        <f>100*62400</f>
        <v>6240000</v>
      </c>
      <c r="AX21" s="9">
        <f>AW21/38/3.3</f>
        <v>49760.765550239237</v>
      </c>
      <c r="BD21" s="646" t="s">
        <v>503</v>
      </c>
      <c r="BE21" s="647">
        <v>300</v>
      </c>
      <c r="BF21" s="554">
        <v>0.1</v>
      </c>
      <c r="BG21" s="554">
        <v>1.07</v>
      </c>
      <c r="BH21" s="475"/>
      <c r="BI21" s="562"/>
      <c r="BJ21" s="475"/>
      <c r="BK21" s="161"/>
      <c r="BL21" s="724" t="s">
        <v>548</v>
      </c>
      <c r="BM21" s="724">
        <v>100</v>
      </c>
      <c r="BN21" s="724">
        <v>-4.75</v>
      </c>
      <c r="BO21" s="725"/>
      <c r="BP21" s="634"/>
      <c r="BQ21" s="634"/>
      <c r="BR21" s="634"/>
      <c r="BS21" s="730"/>
      <c r="BT21" s="731"/>
      <c r="BU21" s="651"/>
      <c r="BV21" s="721"/>
      <c r="BW21" s="634"/>
      <c r="BX21" s="634"/>
      <c r="BY21" s="722"/>
      <c r="BZ21" s="162"/>
    </row>
    <row r="22" spans="1:81" ht="15" customHeight="1" x14ac:dyDescent="0.2">
      <c r="A22" s="237"/>
      <c r="B22" s="230"/>
      <c r="C22" s="162"/>
      <c r="T22" s="354" t="s">
        <v>399</v>
      </c>
      <c r="U22" s="446">
        <f>U18/Tb1Prim11B10B</f>
        <v>1.1343312863515238</v>
      </c>
      <c r="AC22" s="14"/>
      <c r="AH22" s="22"/>
      <c r="AU22" s="164">
        <v>50</v>
      </c>
      <c r="AV22" s="156">
        <f>AU22/2^2*3.14/AV21</f>
        <v>0.55555555555555547</v>
      </c>
      <c r="AW22" s="595">
        <f>AW21*AV22</f>
        <v>3466666.666666666</v>
      </c>
      <c r="AX22" s="9">
        <f>AW22/38/3.3</f>
        <v>27644.869750132904</v>
      </c>
      <c r="AY22" s="22">
        <v>3.5</v>
      </c>
      <c r="AZ22" s="162">
        <f>AY22/(10-1)^0.5</f>
        <v>1.1666666666666667</v>
      </c>
      <c r="BD22" s="552" t="s">
        <v>494</v>
      </c>
      <c r="BE22" s="22">
        <v>34.299999999999997</v>
      </c>
      <c r="BF22" s="257" t="s">
        <v>510</v>
      </c>
      <c r="BG22" s="22">
        <v>0.85</v>
      </c>
      <c r="BH22" s="475"/>
      <c r="BI22" s="164">
        <v>11.9</v>
      </c>
      <c r="BJ22" s="164">
        <v>5.0000000000000001E-3</v>
      </c>
      <c r="BK22" s="161"/>
      <c r="BL22" s="724" t="s">
        <v>920</v>
      </c>
      <c r="BM22" s="724">
        <v>4.4000000000000004</v>
      </c>
      <c r="BN22" s="724">
        <v>8.19</v>
      </c>
      <c r="BO22" s="725"/>
      <c r="BP22" s="634"/>
      <c r="BQ22" s="634"/>
      <c r="BR22" s="634"/>
      <c r="BS22" s="651"/>
      <c r="BT22" s="721"/>
      <c r="BU22" s="651"/>
      <c r="BV22" s="721"/>
      <c r="BW22" s="634"/>
      <c r="BX22" s="634"/>
      <c r="BY22" s="722"/>
      <c r="BZ22" s="162"/>
    </row>
    <row r="23" spans="1:81" ht="15" customHeight="1" x14ac:dyDescent="0.2">
      <c r="A23" s="237"/>
      <c r="B23" s="238"/>
      <c r="C23" s="162"/>
      <c r="K23" s="631"/>
      <c r="L23" s="240"/>
      <c r="M23" s="622"/>
      <c r="N23" s="240"/>
      <c r="O23" s="622"/>
      <c r="P23" s="320"/>
      <c r="T23" s="354" t="s">
        <v>400</v>
      </c>
      <c r="U23" s="447">
        <f>1-U22</f>
        <v>-0.1343312863515238</v>
      </c>
      <c r="AC23" s="14"/>
      <c r="AH23" s="22"/>
      <c r="AU23" s="586">
        <v>90</v>
      </c>
      <c r="AV23" s="156">
        <f>AU23/2^2*3.14/AV21</f>
        <v>1</v>
      </c>
      <c r="AW23" s="595">
        <f>AW21*AV23</f>
        <v>6240000</v>
      </c>
      <c r="AX23" s="9">
        <f>AW23/38/10</f>
        <v>16421.052631578947</v>
      </c>
      <c r="BA23" s="156"/>
      <c r="BD23" s="552" t="s">
        <v>490</v>
      </c>
      <c r="BE23" s="554">
        <v>2.4</v>
      </c>
      <c r="BF23" s="554">
        <v>-2.88</v>
      </c>
      <c r="BG23" s="554">
        <v>1.42</v>
      </c>
      <c r="BH23" s="475"/>
      <c r="BI23" s="164">
        <v>11.9</v>
      </c>
      <c r="BJ23" s="475"/>
      <c r="BK23" s="161"/>
      <c r="BL23" s="724" t="s">
        <v>922</v>
      </c>
      <c r="BM23" s="724">
        <v>5.73</v>
      </c>
      <c r="BN23" s="724">
        <v>-10.3</v>
      </c>
      <c r="BO23" s="725"/>
      <c r="BP23" s="634"/>
      <c r="BQ23" s="634"/>
      <c r="BR23" s="634"/>
      <c r="BS23" s="730"/>
      <c r="BT23" s="721"/>
      <c r="BU23" s="651"/>
      <c r="BV23" s="721"/>
      <c r="BW23" s="634"/>
      <c r="BX23" s="634"/>
      <c r="BY23" s="722"/>
      <c r="BZ23" s="162"/>
    </row>
    <row r="24" spans="1:81" ht="15" customHeight="1" x14ac:dyDescent="0.2">
      <c r="A24" s="237"/>
      <c r="B24" s="238"/>
      <c r="C24" s="162"/>
      <c r="K24" s="632"/>
      <c r="L24" s="53"/>
      <c r="M24" s="463"/>
      <c r="N24" s="53"/>
      <c r="O24" s="463"/>
      <c r="P24" s="432"/>
      <c r="Q24" s="81"/>
      <c r="R24" s="438"/>
      <c r="U24" s="448">
        <f>(L31 + M31*AnalysisNumb + IF(K31&gt;1, N31*AnalysisNumb^2) + IF(K31&gt;2, O31*AnalysisNumb^3) + IF(K31&gt;3, P31*AnalysisNumb^4) + IF(K31&gt;4, Q31*AnalysisNumb^5) + IF(K31&gt;5, R31*AnalysisNumb^6))/Tb1Prim11B10B</f>
        <v>1.1319698634365751</v>
      </c>
      <c r="AC24" s="14"/>
      <c r="AH24" s="22"/>
      <c r="AU24" s="164">
        <v>50</v>
      </c>
      <c r="AV24" s="156">
        <f>AU24/2^2*3.14/AV21</f>
        <v>0.55555555555555547</v>
      </c>
      <c r="AW24" s="595">
        <f>AW21*AV24</f>
        <v>3466666.666666666</v>
      </c>
      <c r="AX24" s="9">
        <f>AW24/38/10</f>
        <v>9122.8070175438588</v>
      </c>
      <c r="AY24" s="22"/>
      <c r="AZ24" s="162"/>
      <c r="BA24" s="156"/>
      <c r="BD24" s="646" t="s">
        <v>504</v>
      </c>
      <c r="BE24" s="647">
        <v>354</v>
      </c>
      <c r="BF24" s="554">
        <v>-0.56000000000000005</v>
      </c>
      <c r="BG24" s="554">
        <v>0.14000000000000001</v>
      </c>
      <c r="BH24" s="475"/>
      <c r="BI24" s="562"/>
      <c r="BJ24" s="475"/>
      <c r="BK24" s="161"/>
      <c r="BL24" s="724" t="s">
        <v>921</v>
      </c>
      <c r="BM24" s="724">
        <v>14</v>
      </c>
      <c r="BN24" s="724">
        <v>9.9</v>
      </c>
      <c r="BO24" s="725"/>
      <c r="BP24" s="634"/>
      <c r="BQ24" s="634"/>
      <c r="BR24" s="634"/>
      <c r="BS24" s="651"/>
      <c r="BT24" s="721"/>
      <c r="BU24" s="651"/>
      <c r="BV24" s="721"/>
      <c r="BW24" s="634"/>
      <c r="BX24" s="634"/>
      <c r="BY24" s="722"/>
      <c r="BZ24" s="162"/>
    </row>
    <row r="25" spans="1:81" ht="15" customHeight="1" x14ac:dyDescent="0.2">
      <c r="A25" s="237"/>
      <c r="B25" s="238"/>
      <c r="C25" s="162"/>
      <c r="D25" s="162"/>
      <c r="K25" s="633"/>
      <c r="L25" s="316"/>
      <c r="M25" s="623"/>
      <c r="N25" s="316"/>
      <c r="O25" s="623"/>
      <c r="P25" s="318"/>
      <c r="Q25" s="81"/>
      <c r="R25" s="438"/>
      <c r="Y25" s="239"/>
      <c r="Z25" s="240"/>
      <c r="AA25" s="240"/>
      <c r="AB25" s="242"/>
      <c r="AC25" s="240"/>
      <c r="AD25" s="240"/>
      <c r="AE25" s="240"/>
      <c r="AF25" s="240"/>
      <c r="AG25" s="240"/>
      <c r="AH25" s="240"/>
      <c r="AI25" s="240"/>
      <c r="AJ25" s="240"/>
      <c r="AK25" s="240"/>
      <c r="AL25" s="240"/>
      <c r="AM25" s="240"/>
      <c r="AN25" s="320"/>
      <c r="AP25" s="310" t="s">
        <v>308</v>
      </c>
      <c r="AQ25" s="304"/>
      <c r="AR25" s="244"/>
      <c r="AS25" s="245"/>
      <c r="AU25" s="427">
        <v>33</v>
      </c>
      <c r="AV25" s="156">
        <f>AU25/2^2*3.14/AV21</f>
        <v>0.36666666666666664</v>
      </c>
      <c r="AW25" s="595">
        <f>AW21*AV25</f>
        <v>2288000</v>
      </c>
      <c r="AX25" s="9">
        <f>AW25/38/10</f>
        <v>6021.0526315789475</v>
      </c>
      <c r="AY25" s="22">
        <v>20</v>
      </c>
      <c r="AZ25" s="162">
        <f>AY25/(10-1)^0.5</f>
        <v>6.666666666666667</v>
      </c>
      <c r="BD25" s="552" t="s">
        <v>505</v>
      </c>
      <c r="BE25" s="86">
        <v>15</v>
      </c>
      <c r="BF25" s="554">
        <v>7.15</v>
      </c>
      <c r="BG25" s="554">
        <v>0.8</v>
      </c>
      <c r="BH25" s="475"/>
      <c r="BI25" s="475">
        <v>8.4499999999999993</v>
      </c>
      <c r="BJ25" s="475">
        <v>10.1</v>
      </c>
      <c r="BK25" s="161"/>
      <c r="BL25" s="724" t="s">
        <v>932</v>
      </c>
      <c r="BM25" s="724">
        <v>2.44</v>
      </c>
      <c r="BN25" s="724"/>
      <c r="BO25" s="725"/>
      <c r="BP25" s="634"/>
      <c r="BQ25" s="634"/>
      <c r="BR25" s="634"/>
      <c r="BS25" s="651"/>
      <c r="BT25" s="721"/>
      <c r="BU25" s="651"/>
      <c r="BV25" s="721"/>
      <c r="BW25" s="634"/>
      <c r="BX25" s="634"/>
      <c r="BY25" s="722"/>
      <c r="BZ25" s="162"/>
    </row>
    <row r="26" spans="1:81" ht="15" customHeight="1" x14ac:dyDescent="0.2">
      <c r="A26" s="237"/>
      <c r="B26" s="238"/>
      <c r="C26" s="162"/>
      <c r="U26" s="239"/>
      <c r="V26" s="242"/>
      <c r="W26" s="320"/>
      <c r="Y26" s="314"/>
      <c r="Z26" s="22"/>
      <c r="AA26" s="53"/>
      <c r="AB26" s="53"/>
      <c r="AC26" s="53"/>
      <c r="AD26" s="362" t="s">
        <v>401</v>
      </c>
      <c r="AE26" s="342"/>
      <c r="AF26" s="53"/>
      <c r="AH26" s="351" t="s">
        <v>386</v>
      </c>
      <c r="AI26" s="53"/>
      <c r="AJ26" s="53"/>
      <c r="AK26" s="53"/>
      <c r="AL26" s="53"/>
      <c r="AM26" s="53"/>
      <c r="AN26" s="243"/>
      <c r="AP26" s="246"/>
      <c r="AQ26" s="307" t="s">
        <v>396</v>
      </c>
      <c r="AR26" s="308" t="s">
        <v>397</v>
      </c>
      <c r="AS26" s="15"/>
      <c r="AU26" s="481" t="s">
        <v>438</v>
      </c>
      <c r="AV26" s="482">
        <v>4.0513199999999996</v>
      </c>
      <c r="AW26" s="596">
        <f t="shared" ref="AW26:AW35" si="16">(1000*AV26/AZ26)-1000</f>
        <v>-0.78431372549027856</v>
      </c>
      <c r="AX26" s="484"/>
      <c r="AY26" s="484" t="s">
        <v>439</v>
      </c>
      <c r="AZ26" s="483">
        <v>4.0545</v>
      </c>
      <c r="BA26" s="483">
        <v>6.9999999999999999E-4</v>
      </c>
      <c r="BB26" s="484" t="s">
        <v>440</v>
      </c>
      <c r="BC26" s="485"/>
      <c r="BD26" s="552" t="s">
        <v>506</v>
      </c>
      <c r="BE26" s="86">
        <v>18</v>
      </c>
      <c r="BF26" s="554">
        <v>13.66</v>
      </c>
      <c r="BG26" s="554">
        <v>0.18</v>
      </c>
      <c r="BH26" s="475"/>
      <c r="BI26" s="562">
        <v>6.24</v>
      </c>
      <c r="BJ26" s="475">
        <v>9.81</v>
      </c>
      <c r="BK26" s="161"/>
      <c r="BL26" s="724" t="s">
        <v>933</v>
      </c>
      <c r="BM26" s="724">
        <v>2.37</v>
      </c>
      <c r="BN26" s="725">
        <v>-12.05</v>
      </c>
      <c r="BO26" s="725"/>
      <c r="BP26" s="634"/>
      <c r="BQ26" s="634"/>
      <c r="BR26" s="634"/>
      <c r="BS26" s="730"/>
      <c r="BT26" s="721"/>
      <c r="BU26" s="651"/>
      <c r="BV26" s="721"/>
      <c r="BW26" s="634"/>
      <c r="BX26" s="634"/>
      <c r="BY26" s="722"/>
      <c r="BZ26" s="162"/>
    </row>
    <row r="27" spans="1:81" ht="15" customHeight="1" x14ac:dyDescent="0.2">
      <c r="A27" s="237"/>
      <c r="B27" s="238"/>
      <c r="I27" s="631"/>
      <c r="J27" s="242"/>
      <c r="K27" s="622"/>
      <c r="L27" s="241"/>
      <c r="M27" s="624"/>
      <c r="N27" s="221"/>
      <c r="O27" s="624"/>
      <c r="P27" s="173"/>
      <c r="Q27" s="624"/>
      <c r="R27" s="173"/>
      <c r="S27" s="355"/>
      <c r="U27" s="322"/>
      <c r="V27" s="109"/>
      <c r="W27" s="243"/>
      <c r="Y27" s="314"/>
      <c r="Z27" s="342"/>
      <c r="AA27" s="342"/>
      <c r="AB27" s="342"/>
      <c r="AC27" s="342"/>
      <c r="AD27" s="53"/>
      <c r="AE27" s="53"/>
      <c r="AF27" s="53"/>
      <c r="AG27" s="53"/>
      <c r="AH27" s="53"/>
      <c r="AI27" s="53"/>
      <c r="AJ27" s="53"/>
      <c r="AK27" s="53"/>
      <c r="AL27" s="53"/>
      <c r="AM27" s="53"/>
      <c r="AN27" s="243"/>
      <c r="AP27" s="246" t="s">
        <v>395</v>
      </c>
      <c r="AQ27" s="247">
        <v>12</v>
      </c>
      <c r="AR27" s="309">
        <f>AE3</f>
        <v>130</v>
      </c>
      <c r="AS27" s="305" t="s">
        <v>307</v>
      </c>
      <c r="AU27" s="486" t="s">
        <v>438</v>
      </c>
      <c r="AV27" s="487">
        <v>4.0530400000000002</v>
      </c>
      <c r="AW27" s="597">
        <f t="shared" si="16"/>
        <v>-0.36009372302373777</v>
      </c>
      <c r="AX27" s="55"/>
      <c r="AY27" s="55" t="s">
        <v>439</v>
      </c>
      <c r="AZ27" s="340">
        <v>4.0545</v>
      </c>
      <c r="BA27" s="340">
        <v>6.9999999999999999E-4</v>
      </c>
      <c r="BB27" s="55" t="s">
        <v>440</v>
      </c>
      <c r="BC27" s="488"/>
      <c r="BD27" s="648" t="s">
        <v>507</v>
      </c>
      <c r="BE27" s="649">
        <v>50</v>
      </c>
      <c r="BF27" s="643">
        <v>20.85</v>
      </c>
      <c r="BG27" s="643">
        <v>0.59</v>
      </c>
      <c r="BH27" s="574"/>
      <c r="BI27" s="475"/>
      <c r="BJ27" s="475"/>
      <c r="BK27" s="161"/>
      <c r="BL27" s="724" t="s">
        <v>934</v>
      </c>
      <c r="BM27" s="724" t="s">
        <v>935</v>
      </c>
      <c r="BN27" s="725"/>
      <c r="BO27" s="725"/>
      <c r="BP27" s="634"/>
      <c r="BQ27" s="634"/>
      <c r="BR27" s="634"/>
      <c r="BS27" s="651"/>
      <c r="BT27" s="721"/>
      <c r="BU27" s="651"/>
      <c r="BV27" s="721"/>
      <c r="BW27" s="634"/>
      <c r="BX27" s="634"/>
      <c r="BY27" s="722"/>
      <c r="BZ27" s="162"/>
    </row>
    <row r="28" spans="1:81" ht="15" customHeight="1" x14ac:dyDescent="0.2">
      <c r="A28" s="237"/>
      <c r="B28" s="238"/>
      <c r="I28" s="632"/>
      <c r="J28" s="383" t="s">
        <v>402</v>
      </c>
      <c r="L28" s="53"/>
      <c r="M28" s="463"/>
      <c r="N28" s="351" t="s">
        <v>386</v>
      </c>
      <c r="O28" s="463"/>
      <c r="P28" s="53"/>
      <c r="Q28" s="463"/>
      <c r="R28" s="53"/>
      <c r="S28" s="243"/>
      <c r="U28" s="381"/>
      <c r="V28" s="109"/>
      <c r="W28" s="243"/>
      <c r="Y28" s="314"/>
      <c r="Z28" s="349" t="s">
        <v>375</v>
      </c>
      <c r="AA28" s="313"/>
      <c r="AB28" s="313"/>
      <c r="AC28" s="313"/>
      <c r="AD28" s="53"/>
      <c r="AE28" s="349" t="s">
        <v>385</v>
      </c>
      <c r="AF28" s="313"/>
      <c r="AG28" s="313"/>
      <c r="AH28" s="313"/>
      <c r="AI28" s="313"/>
      <c r="AJ28" s="313"/>
      <c r="AK28" s="313"/>
      <c r="AL28" s="313"/>
      <c r="AM28" s="313"/>
      <c r="AN28" s="243"/>
      <c r="AP28" s="174" t="s">
        <v>212</v>
      </c>
      <c r="AQ28" s="248">
        <v>30</v>
      </c>
      <c r="AR28" s="249"/>
      <c r="AS28" s="306" t="s">
        <v>307</v>
      </c>
      <c r="AU28" s="489" t="s">
        <v>438</v>
      </c>
      <c r="AV28" s="590">
        <v>4.0522999999999998</v>
      </c>
      <c r="AW28" s="598">
        <f t="shared" si="16"/>
        <v>-0.54260697989889195</v>
      </c>
      <c r="AX28" s="491"/>
      <c r="AY28" s="491" t="s">
        <v>439</v>
      </c>
      <c r="AZ28" s="492">
        <v>4.0545</v>
      </c>
      <c r="BA28" s="492">
        <v>6.9999999999999999E-4</v>
      </c>
      <c r="BB28" s="491" t="s">
        <v>441</v>
      </c>
      <c r="BC28" s="493"/>
      <c r="BD28" s="552" t="s">
        <v>508</v>
      </c>
      <c r="BE28" s="553">
        <v>4</v>
      </c>
      <c r="BF28" s="554">
        <v>-15.65</v>
      </c>
      <c r="BG28" s="554">
        <v>1.21</v>
      </c>
      <c r="BH28" s="475"/>
      <c r="BI28" s="562"/>
      <c r="BJ28" s="475"/>
      <c r="BK28" s="161"/>
      <c r="BL28" s="724" t="s">
        <v>936</v>
      </c>
      <c r="BM28" s="724" t="s">
        <v>937</v>
      </c>
      <c r="BN28" s="725">
        <v>-5.5</v>
      </c>
      <c r="BO28" s="725"/>
      <c r="BP28" s="634"/>
      <c r="BQ28" s="634"/>
      <c r="BR28" s="634"/>
      <c r="BS28" s="730"/>
      <c r="BT28" s="731"/>
      <c r="BU28" s="651"/>
      <c r="BV28" s="721"/>
      <c r="BW28" s="634"/>
      <c r="BX28" s="634"/>
      <c r="BY28" s="722"/>
      <c r="BZ28" s="162"/>
    </row>
    <row r="29" spans="1:81" ht="15" customHeight="1" x14ac:dyDescent="0.2">
      <c r="A29" s="237"/>
      <c r="B29" s="238"/>
      <c r="I29" s="632"/>
      <c r="J29" s="53"/>
      <c r="K29" s="463"/>
      <c r="L29" s="53"/>
      <c r="M29" s="463"/>
      <c r="N29" s="53"/>
      <c r="O29" s="463"/>
      <c r="P29" s="53"/>
      <c r="Q29" s="463"/>
      <c r="R29" s="53"/>
      <c r="S29" s="356"/>
      <c r="U29" s="381"/>
      <c r="V29" s="109"/>
      <c r="W29" s="243"/>
      <c r="Y29" s="314"/>
      <c r="Z29" s="367"/>
      <c r="AA29" s="313"/>
      <c r="AB29" s="313"/>
      <c r="AC29" s="313"/>
      <c r="AE29" s="313"/>
      <c r="AF29" s="313"/>
      <c r="AG29" s="313"/>
      <c r="AH29" s="313"/>
      <c r="AI29" s="313"/>
      <c r="AJ29" s="313"/>
      <c r="AK29" s="313"/>
      <c r="AL29" s="313"/>
      <c r="AM29" s="313"/>
      <c r="AN29" s="319"/>
      <c r="AU29" s="486" t="s">
        <v>442</v>
      </c>
      <c r="AV29" s="487">
        <v>4.0501500000000004</v>
      </c>
      <c r="AW29" s="597">
        <f t="shared" si="16"/>
        <v>-1.0728819829816985</v>
      </c>
      <c r="AX29" s="55"/>
      <c r="AY29" s="55" t="s">
        <v>439</v>
      </c>
      <c r="AZ29" s="340">
        <v>4.0545</v>
      </c>
      <c r="BA29" s="340">
        <v>6.9999999999999999E-4</v>
      </c>
      <c r="BB29" s="55" t="s">
        <v>440</v>
      </c>
      <c r="BC29" s="488"/>
      <c r="BD29" s="552" t="s">
        <v>509</v>
      </c>
      <c r="BE29" s="553">
        <v>4</v>
      </c>
      <c r="BF29" s="554">
        <v>-2.62</v>
      </c>
      <c r="BG29" s="554">
        <v>2.8</v>
      </c>
      <c r="BH29" s="475"/>
      <c r="BI29" s="475"/>
      <c r="BJ29" s="475"/>
      <c r="BK29" s="161"/>
      <c r="BL29" s="733" t="s">
        <v>938</v>
      </c>
      <c r="BM29" s="724">
        <v>2</v>
      </c>
      <c r="BN29" s="724">
        <v>5.67</v>
      </c>
      <c r="BO29" s="724"/>
      <c r="BP29" s="634"/>
      <c r="BQ29" s="634"/>
      <c r="BR29" s="634"/>
      <c r="BS29" s="576"/>
      <c r="BT29" s="660"/>
      <c r="BU29" s="651"/>
      <c r="BV29" s="574"/>
      <c r="BW29" s="624"/>
      <c r="BX29" s="624"/>
      <c r="BY29" s="568"/>
      <c r="BZ29" s="162"/>
    </row>
    <row r="30" spans="1:81" ht="15" customHeight="1" x14ac:dyDescent="0.2">
      <c r="A30" s="237"/>
      <c r="B30" s="238"/>
      <c r="I30" s="632"/>
      <c r="J30" s="35"/>
      <c r="K30" s="634" t="s">
        <v>394</v>
      </c>
      <c r="L30" s="368" t="s">
        <v>392</v>
      </c>
      <c r="M30" s="625" t="s">
        <v>301</v>
      </c>
      <c r="N30" s="368" t="s">
        <v>302</v>
      </c>
      <c r="O30" s="625" t="s">
        <v>303</v>
      </c>
      <c r="P30" s="368" t="s">
        <v>393</v>
      </c>
      <c r="Q30" s="625" t="s">
        <v>305</v>
      </c>
      <c r="R30" s="368" t="s">
        <v>304</v>
      </c>
      <c r="S30" s="243"/>
      <c r="U30" s="381"/>
      <c r="V30" s="109"/>
      <c r="W30" s="243"/>
      <c r="Y30" s="314"/>
      <c r="Z30" s="353" t="s">
        <v>317</v>
      </c>
      <c r="AA30" s="313"/>
      <c r="AB30" s="313"/>
      <c r="AC30" s="364">
        <v>1</v>
      </c>
      <c r="AD30" s="53"/>
      <c r="AE30" s="353" t="s">
        <v>314</v>
      </c>
      <c r="AF30" s="317"/>
      <c r="AG30" s="317"/>
      <c r="AH30" s="363">
        <v>0</v>
      </c>
      <c r="AI30" s="365">
        <v>2.4700000000000002</v>
      </c>
      <c r="AJ30" s="365"/>
      <c r="AK30" s="365"/>
      <c r="AL30" s="365"/>
      <c r="AM30" s="365"/>
      <c r="AN30" s="319"/>
      <c r="AU30" s="486" t="s">
        <v>442</v>
      </c>
      <c r="AV30" s="487">
        <v>4.0392830000000002</v>
      </c>
      <c r="AW30" s="597">
        <f t="shared" si="16"/>
        <v>-1.0725538008020976</v>
      </c>
      <c r="AX30" s="55"/>
      <c r="AY30" s="55" t="s">
        <v>439</v>
      </c>
      <c r="AZ30" s="340">
        <v>4.0436199999999998</v>
      </c>
      <c r="BA30" s="340">
        <v>6.8999999999999997E-4</v>
      </c>
      <c r="BB30" s="55" t="s">
        <v>443</v>
      </c>
      <c r="BC30" s="488"/>
      <c r="BD30" s="552" t="s">
        <v>512</v>
      </c>
      <c r="BE30" s="553" t="s">
        <v>513</v>
      </c>
      <c r="BF30" s="554" t="s">
        <v>514</v>
      </c>
      <c r="BG30" s="554">
        <v>0.95</v>
      </c>
      <c r="BH30" s="475"/>
      <c r="BK30" s="161"/>
      <c r="BL30" s="741" t="s">
        <v>939</v>
      </c>
      <c r="BM30" s="576">
        <v>8.48</v>
      </c>
      <c r="BN30" s="660">
        <v>-3.95</v>
      </c>
      <c r="BO30" s="576"/>
      <c r="BP30" s="624"/>
      <c r="BQ30" s="624"/>
      <c r="BR30" s="568"/>
      <c r="BS30" s="576"/>
      <c r="BT30" s="660"/>
      <c r="BU30" s="740"/>
      <c r="BV30" s="574"/>
      <c r="BW30" s="624"/>
      <c r="BX30" s="624"/>
      <c r="BY30" s="568"/>
      <c r="BZ30" s="162"/>
    </row>
    <row r="31" spans="1:81" ht="15" customHeight="1" x14ac:dyDescent="0.2">
      <c r="A31" s="237"/>
      <c r="B31" s="153"/>
      <c r="I31" s="632"/>
      <c r="J31" s="347" t="s">
        <v>419</v>
      </c>
      <c r="K31" s="635">
        <v>4</v>
      </c>
      <c r="L31" s="559">
        <f t="array" ref="L31:R31">ARpolinomic($U$41:$U$54,$W$41:$W$54,K31)</f>
        <v>4.5963503389050118</v>
      </c>
      <c r="M31" s="628">
        <v>2.6751790271717368E-4</v>
      </c>
      <c r="N31" s="560">
        <v>-4.0798875633463183E-6</v>
      </c>
      <c r="O31" s="628">
        <v>1.7700411018839457E-8</v>
      </c>
      <c r="P31" s="560">
        <v>-2.5519316309980376E-11</v>
      </c>
      <c r="Q31" s="628" t="e">
        <v>#N/A</v>
      </c>
      <c r="R31" s="700" t="e">
        <v>#N/A</v>
      </c>
      <c r="S31" s="243"/>
      <c r="U31" s="381"/>
      <c r="V31" s="109"/>
      <c r="W31" s="243"/>
      <c r="Y31" s="314"/>
      <c r="Z31" s="353" t="s">
        <v>315</v>
      </c>
      <c r="AA31" s="313"/>
      <c r="AB31" s="313"/>
      <c r="AC31" s="364">
        <v>1</v>
      </c>
      <c r="AD31" s="53"/>
      <c r="AE31" s="353" t="s">
        <v>318</v>
      </c>
      <c r="AF31" s="313"/>
      <c r="AG31" s="313"/>
      <c r="AH31" s="363">
        <v>0</v>
      </c>
      <c r="AI31" s="365">
        <v>1.5</v>
      </c>
      <c r="AJ31" s="365"/>
      <c r="AK31" s="365"/>
      <c r="AL31" s="365"/>
      <c r="AM31" s="365"/>
      <c r="AN31" s="243"/>
      <c r="AU31" s="486" t="s">
        <v>442</v>
      </c>
      <c r="AV31" s="487">
        <v>4.0114000000000001</v>
      </c>
      <c r="AW31" s="599">
        <f t="shared" si="16"/>
        <v>-1.0707971212988241</v>
      </c>
      <c r="AX31" s="55"/>
      <c r="AY31" s="55" t="s">
        <v>439</v>
      </c>
      <c r="AZ31" s="340">
        <v>4.0156999999999998</v>
      </c>
      <c r="BA31" s="340">
        <v>2.5999999999999999E-3</v>
      </c>
      <c r="BB31" s="55" t="s">
        <v>440</v>
      </c>
      <c r="BC31" s="488"/>
      <c r="BD31" s="552" t="s">
        <v>515</v>
      </c>
      <c r="BE31" s="645"/>
      <c r="BF31" s="554"/>
      <c r="BG31" s="554"/>
      <c r="BH31" s="475"/>
      <c r="BK31" s="161"/>
      <c r="BL31" s="732" t="s">
        <v>923</v>
      </c>
      <c r="BM31" s="723"/>
      <c r="BN31" s="723">
        <v>-5.5</v>
      </c>
      <c r="BO31" s="723"/>
      <c r="BP31" s="624"/>
      <c r="BQ31" s="624"/>
      <c r="BR31" s="570"/>
      <c r="BS31" s="660"/>
      <c r="BT31" s="660"/>
      <c r="BU31" s="740"/>
      <c r="BV31" s="720"/>
      <c r="BW31" s="624"/>
      <c r="BX31" s="624"/>
      <c r="BY31" s="729"/>
      <c r="BZ31" s="162"/>
    </row>
    <row r="32" spans="1:81" ht="15" customHeight="1" x14ac:dyDescent="0.2">
      <c r="A32" s="237"/>
      <c r="B32" s="153"/>
      <c r="I32" s="632"/>
      <c r="J32" s="347" t="s">
        <v>419</v>
      </c>
      <c r="K32" s="635">
        <v>3</v>
      </c>
      <c r="L32" s="449">
        <f t="array" ref="L32:R32">ARpolinomic($U$3:$U$16,$W$3:$W$16,K32)</f>
        <v>4.6002986407284681</v>
      </c>
      <c r="M32" s="626">
        <v>2.7165654414851303E-5</v>
      </c>
      <c r="N32" s="450">
        <v>-5.9649882588885816E-7</v>
      </c>
      <c r="O32" s="626">
        <v>8.8744506994496274E-10</v>
      </c>
      <c r="P32" s="450" t="e">
        <v>#N/A</v>
      </c>
      <c r="Q32" s="626" t="e">
        <v>#N/A</v>
      </c>
      <c r="R32" s="451" t="e">
        <v>#N/A</v>
      </c>
      <c r="S32" s="243"/>
      <c r="U32" s="381"/>
      <c r="V32" s="109"/>
      <c r="W32" s="243"/>
      <c r="Y32" s="314"/>
      <c r="Z32" s="353"/>
      <c r="AA32" s="313"/>
      <c r="AB32" s="313"/>
      <c r="AC32" s="364"/>
      <c r="AD32" s="53"/>
      <c r="AE32" s="353"/>
      <c r="AF32" s="313"/>
      <c r="AG32" s="313"/>
      <c r="AH32" s="363"/>
      <c r="AI32" s="365"/>
      <c r="AJ32" s="365"/>
      <c r="AK32" s="365"/>
      <c r="AL32" s="365"/>
      <c r="AM32" s="365"/>
      <c r="AN32" s="243"/>
      <c r="AU32" s="486" t="s">
        <v>491</v>
      </c>
      <c r="AV32" s="487">
        <v>4.0954800000000002</v>
      </c>
      <c r="AW32" s="597">
        <f t="shared" ref="AW32" si="17">(1000*AV32/AZ32)-1000</f>
        <v>10.107288198298193</v>
      </c>
      <c r="AX32" s="55"/>
      <c r="AY32" s="55" t="s">
        <v>439</v>
      </c>
      <c r="AZ32" s="340">
        <v>4.0545</v>
      </c>
      <c r="BA32" s="340">
        <v>6.9999999999999999E-4</v>
      </c>
      <c r="BB32" s="55" t="s">
        <v>440</v>
      </c>
      <c r="BC32" s="488"/>
      <c r="BD32" s="552"/>
      <c r="BE32" s="645"/>
      <c r="BF32" s="554"/>
      <c r="BG32" s="554"/>
      <c r="BH32" s="475"/>
      <c r="BK32" s="161"/>
      <c r="BL32" s="732"/>
      <c r="BM32" s="660"/>
      <c r="BN32" s="720"/>
      <c r="BO32" s="721"/>
      <c r="BP32" s="720"/>
      <c r="BQ32" s="720"/>
      <c r="BR32" s="722"/>
      <c r="BS32" s="660"/>
      <c r="BT32" s="720"/>
      <c r="BU32" s="721"/>
      <c r="BV32" s="721"/>
      <c r="BW32" s="624"/>
      <c r="BX32" s="624"/>
      <c r="BY32" s="722"/>
      <c r="BZ32" s="162"/>
      <c r="CB32" s="204"/>
      <c r="CC32" s="204"/>
    </row>
    <row r="33" spans="1:81" ht="15" customHeight="1" x14ac:dyDescent="0.2">
      <c r="A33" s="237"/>
      <c r="B33" s="153"/>
      <c r="I33" s="632"/>
      <c r="J33" s="348" t="s">
        <v>421</v>
      </c>
      <c r="K33" s="636">
        <v>3</v>
      </c>
      <c r="L33" s="710">
        <f t="array" ref="L33:R33">ARpolinomic($Q$3:$Q$16,$W$3:$W$16,K33)</f>
        <v>9682593.8699217588</v>
      </c>
      <c r="M33" s="711">
        <v>-26025.063331254758</v>
      </c>
      <c r="N33" s="712">
        <v>124.19261504145834</v>
      </c>
      <c r="O33" s="711">
        <v>-0.23115060645233143</v>
      </c>
      <c r="P33" s="712" t="e">
        <v>#N/A</v>
      </c>
      <c r="Q33" s="711" t="e">
        <v>#N/A</v>
      </c>
      <c r="R33" s="713" t="e">
        <v>#N/A</v>
      </c>
      <c r="S33" s="243"/>
      <c r="U33" s="314"/>
      <c r="V33" s="109"/>
      <c r="W33" s="243"/>
      <c r="Y33" s="314"/>
      <c r="Z33" s="353" t="s">
        <v>316</v>
      </c>
      <c r="AA33" s="313"/>
      <c r="AB33" s="313"/>
      <c r="AC33" s="365">
        <v>0</v>
      </c>
      <c r="AD33" s="312"/>
      <c r="AE33" s="353" t="s">
        <v>319</v>
      </c>
      <c r="AF33" s="313"/>
      <c r="AG33" s="313"/>
      <c r="AH33" s="364">
        <v>0</v>
      </c>
      <c r="AI33" s="366"/>
      <c r="AJ33" s="366"/>
      <c r="AK33" s="366"/>
      <c r="AL33" s="366"/>
      <c r="AM33" s="366"/>
      <c r="AN33" s="319"/>
      <c r="AU33" s="489" t="s">
        <v>403</v>
      </c>
      <c r="AV33" s="490">
        <v>4.05</v>
      </c>
      <c r="AW33" s="600">
        <f t="shared" si="16"/>
        <v>-1.1098779134295</v>
      </c>
      <c r="AX33" s="491"/>
      <c r="AY33" s="491"/>
      <c r="AZ33" s="492">
        <v>4.0545</v>
      </c>
      <c r="BA33" s="491"/>
      <c r="BB33" s="491"/>
      <c r="BC33" s="493"/>
      <c r="BD33" s="552" t="s">
        <v>517</v>
      </c>
      <c r="BE33" s="645" t="s">
        <v>518</v>
      </c>
      <c r="BF33" s="554" t="s">
        <v>519</v>
      </c>
      <c r="BG33" s="554"/>
      <c r="BH33" s="475"/>
      <c r="BK33" s="161"/>
      <c r="BU33" s="739"/>
      <c r="BV33" s="22"/>
      <c r="BW33" s="22"/>
    </row>
    <row r="34" spans="1:81" ht="15" customHeight="1" x14ac:dyDescent="0.2">
      <c r="A34" s="237"/>
      <c r="B34" s="153"/>
      <c r="I34" s="632"/>
      <c r="J34" s="347" t="s">
        <v>420</v>
      </c>
      <c r="K34" s="637">
        <v>2</v>
      </c>
      <c r="L34" s="452">
        <f t="array" ref="L34:R34">ARpolinomic($O$3:$O$16,$W$3:$W$16,K34)</f>
        <v>2062952.4256156441</v>
      </c>
      <c r="M34" s="627">
        <v>-3066.2514625437325</v>
      </c>
      <c r="N34" s="453">
        <v>4.2086449875423568</v>
      </c>
      <c r="O34" s="627" t="e">
        <v>#N/A</v>
      </c>
      <c r="P34" s="453" t="e">
        <v>#N/A</v>
      </c>
      <c r="Q34" s="627" t="e">
        <v>#N/A</v>
      </c>
      <c r="R34" s="454" t="e">
        <v>#N/A</v>
      </c>
      <c r="S34" s="243"/>
      <c r="T34" s="157"/>
      <c r="U34" s="314"/>
      <c r="V34" s="109"/>
      <c r="W34" s="243"/>
      <c r="Y34" s="314"/>
      <c r="Z34" s="352" t="str">
        <f>"A:"</f>
        <v>A:</v>
      </c>
      <c r="AA34" s="350">
        <f>ARxMSWD(Y41:Z44,,FALSE,2)</f>
        <v>2.6722823614129549E-2</v>
      </c>
      <c r="AB34" s="313"/>
      <c r="AC34" s="365"/>
      <c r="AD34" s="312"/>
      <c r="AE34" s="353" t="s">
        <v>398</v>
      </c>
      <c r="AF34" s="313"/>
      <c r="AG34" s="313"/>
      <c r="AH34" s="363">
        <v>0</v>
      </c>
      <c r="AI34" s="365">
        <v>0</v>
      </c>
      <c r="AJ34" s="365"/>
      <c r="AK34" s="365"/>
      <c r="AL34" s="365"/>
      <c r="AM34" s="365"/>
      <c r="AN34" s="243"/>
      <c r="AU34" s="486" t="s">
        <v>442</v>
      </c>
      <c r="AV34" s="487">
        <v>4.0392830000000002</v>
      </c>
      <c r="AW34" s="597">
        <f t="shared" si="16"/>
        <v>-1.0725538008020976</v>
      </c>
      <c r="AX34" s="55"/>
      <c r="AY34" s="55" t="s">
        <v>439</v>
      </c>
      <c r="AZ34" s="340">
        <v>4.0436199999999998</v>
      </c>
      <c r="BA34" s="340">
        <v>6.8999999999999997E-4</v>
      </c>
      <c r="BB34" s="55" t="s">
        <v>443</v>
      </c>
      <c r="BC34" s="488"/>
      <c r="BD34" s="552" t="s">
        <v>516</v>
      </c>
      <c r="BE34" s="645">
        <v>22.9</v>
      </c>
      <c r="BF34" s="554">
        <v>16.170000000000002</v>
      </c>
      <c r="BG34" s="554"/>
      <c r="BH34" s="475"/>
      <c r="BT34" s="587"/>
      <c r="BU34" s="738"/>
      <c r="BV34" s="156"/>
      <c r="BW34" s="156"/>
    </row>
    <row r="35" spans="1:81" ht="15" customHeight="1" x14ac:dyDescent="0.2">
      <c r="A35" s="237"/>
      <c r="B35" s="153"/>
      <c r="I35" s="632"/>
      <c r="J35" s="53"/>
      <c r="K35" s="463"/>
      <c r="L35" s="53"/>
      <c r="M35" s="463"/>
      <c r="N35" s="53"/>
      <c r="O35" s="463"/>
      <c r="P35" s="53"/>
      <c r="Q35" s="463"/>
      <c r="R35" s="328" t="str">
        <f>"c. " &amp; ROUND((MAX(Q41:Q54)-MIN(Q41:Q54))/MAX(Q41:Q54)*100, 1) &amp; " % signal lost"</f>
        <v>c. 29.8 % signal lost</v>
      </c>
      <c r="S35" s="243"/>
      <c r="T35" s="157"/>
      <c r="U35" s="314"/>
      <c r="V35" s="53"/>
      <c r="W35" s="243"/>
      <c r="Y35" s="314"/>
      <c r="Z35" s="352" t="str">
        <f>"B:"</f>
        <v>B:</v>
      </c>
      <c r="AA35" s="350" t="e">
        <f>raYorkMSWD(#REF!,FALSE,2)</f>
        <v>#VALUE!</v>
      </c>
      <c r="AB35" s="313"/>
      <c r="AC35" s="365"/>
      <c r="AD35" s="312"/>
      <c r="AE35" s="313"/>
      <c r="AF35" s="313"/>
      <c r="AG35" s="313"/>
      <c r="AH35" s="313"/>
      <c r="AI35" s="313"/>
      <c r="AJ35" s="313"/>
      <c r="AK35" s="313"/>
      <c r="AL35" s="313"/>
      <c r="AM35" s="313"/>
      <c r="AN35" s="243"/>
      <c r="AU35" s="489" t="s">
        <v>438</v>
      </c>
      <c r="AV35" s="490">
        <v>4.0513199999999996</v>
      </c>
      <c r="AW35" s="601">
        <f t="shared" si="16"/>
        <v>-0.78431372549027856</v>
      </c>
      <c r="AX35" s="491"/>
      <c r="AY35" s="491" t="s">
        <v>439</v>
      </c>
      <c r="AZ35" s="492">
        <v>4.0545</v>
      </c>
      <c r="BA35" s="492">
        <v>6.9999999999999999E-4</v>
      </c>
      <c r="BB35" s="491" t="s">
        <v>440</v>
      </c>
      <c r="BC35" s="493"/>
      <c r="BD35" s="552" t="s">
        <v>511</v>
      </c>
      <c r="BE35" s="645">
        <v>6.03</v>
      </c>
      <c r="BF35" s="554">
        <v>-0.56999999999999995</v>
      </c>
      <c r="BG35" s="554">
        <v>0.11</v>
      </c>
      <c r="BH35" s="475" t="s">
        <v>564</v>
      </c>
      <c r="BT35" s="587"/>
      <c r="BU35" s="738"/>
      <c r="BV35" s="156"/>
      <c r="BW35" s="156"/>
    </row>
    <row r="36" spans="1:81" ht="15" customHeight="1" x14ac:dyDescent="0.2">
      <c r="A36" s="237"/>
      <c r="B36" s="153"/>
      <c r="I36" s="633"/>
      <c r="J36" s="316"/>
      <c r="K36" s="104"/>
      <c r="L36" s="316"/>
      <c r="M36" s="623"/>
      <c r="N36" s="361"/>
      <c r="O36" s="623"/>
      <c r="P36" s="316"/>
      <c r="Q36" s="623"/>
      <c r="R36" s="316"/>
      <c r="S36" s="318"/>
      <c r="T36" s="157"/>
      <c r="U36" s="250"/>
      <c r="V36" s="316"/>
      <c r="W36" s="318"/>
      <c r="Y36" s="357"/>
      <c r="Z36" s="251"/>
      <c r="AA36" s="316"/>
      <c r="AB36" s="104"/>
      <c r="AC36" s="316"/>
      <c r="AD36" s="358"/>
      <c r="AE36" s="359"/>
      <c r="AF36" s="358"/>
      <c r="AG36" s="251"/>
      <c r="AH36" s="360"/>
      <c r="AI36" s="316"/>
      <c r="AJ36" s="746"/>
      <c r="AK36" s="746"/>
      <c r="AL36" s="746"/>
      <c r="AM36" s="746"/>
      <c r="AN36" s="318"/>
      <c r="BE36" s="475"/>
      <c r="BF36" s="475"/>
      <c r="BG36" s="475"/>
      <c r="BH36" s="475"/>
      <c r="BV36" s="156"/>
      <c r="BW36" s="156"/>
    </row>
    <row r="37" spans="1:81" ht="13" x14ac:dyDescent="0.15">
      <c r="A37" s="237"/>
      <c r="B37" s="153"/>
      <c r="K37" s="587">
        <v>3</v>
      </c>
      <c r="L37" s="559">
        <v>4.6228392138433492</v>
      </c>
      <c r="M37" s="628">
        <v>3.1645844918770649E-5</v>
      </c>
      <c r="N37" s="560">
        <v>-7.8248937518399231E-7</v>
      </c>
      <c r="O37" s="628">
        <v>6.0404179914224157E-9</v>
      </c>
      <c r="X37" s="154"/>
      <c r="AC37" s="154"/>
      <c r="AD37" s="154"/>
      <c r="AE37" s="22"/>
      <c r="AF37" s="156"/>
      <c r="AH37" s="22"/>
      <c r="AI37" s="22"/>
      <c r="AJ37" s="22"/>
      <c r="AK37" s="22"/>
      <c r="AL37" s="22"/>
      <c r="AM37" s="22"/>
      <c r="AN37" s="22"/>
      <c r="AU37" s="14"/>
      <c r="AV37" s="555"/>
      <c r="AW37" s="602"/>
      <c r="AX37" s="556"/>
      <c r="AY37" s="556"/>
      <c r="AZ37" s="556"/>
      <c r="BA37" s="557"/>
      <c r="BB37" s="556"/>
      <c r="BC37" s="556"/>
      <c r="BE37" s="475"/>
      <c r="BF37" s="475"/>
      <c r="BG37" s="475"/>
      <c r="BH37" s="475"/>
      <c r="BI37" s="164"/>
    </row>
    <row r="38" spans="1:81" ht="18" x14ac:dyDescent="0.2">
      <c r="A38" s="237"/>
      <c r="B38" s="153"/>
      <c r="J38" s="347" t="s">
        <v>419</v>
      </c>
      <c r="K38" s="705">
        <v>3</v>
      </c>
      <c r="L38" s="701">
        <f t="array" ref="L38:R38">ARpolinomic($U$13:$U$16,$W$13:$W$16,K38)</f>
        <v>4.5806031823158264</v>
      </c>
      <c r="M38" s="702">
        <v>6.2498869083356112E-3</v>
      </c>
      <c r="N38" s="703">
        <v>-4.4023735796372421E-5</v>
      </c>
      <c r="O38" s="702">
        <v>4.364361805286876E-8</v>
      </c>
      <c r="P38" s="703" t="e">
        <v>#N/A</v>
      </c>
      <c r="Q38" s="702" t="e">
        <v>#N/A</v>
      </c>
      <c r="R38" s="704" t="e">
        <v>#N/A</v>
      </c>
      <c r="X38" s="154"/>
      <c r="Y38" s="154"/>
      <c r="AA38" s="22"/>
      <c r="AB38" s="22"/>
      <c r="AC38" s="156"/>
      <c r="AE38" s="22"/>
      <c r="AF38" s="22"/>
      <c r="AG38" s="22"/>
      <c r="AH38" s="155"/>
      <c r="AI38" s="235"/>
      <c r="AJ38" s="235"/>
      <c r="AK38" s="235"/>
      <c r="AL38" s="235"/>
      <c r="AM38" s="235"/>
      <c r="AU38" s="14"/>
      <c r="AV38" s="22"/>
      <c r="AX38" s="22"/>
      <c r="AY38" s="22"/>
      <c r="AZ38" s="22"/>
      <c r="BA38" s="22"/>
      <c r="BB38" s="22"/>
      <c r="BC38" s="22"/>
      <c r="BE38" s="475"/>
      <c r="BF38" s="475"/>
      <c r="BG38" s="475"/>
      <c r="BH38" s="475"/>
      <c r="BI38" s="164"/>
      <c r="BL38" s="204"/>
      <c r="BM38" s="204"/>
      <c r="BN38" s="204"/>
      <c r="BO38" s="204"/>
      <c r="BP38" s="204"/>
      <c r="BQ38" s="204"/>
      <c r="BR38" s="204"/>
      <c r="BS38" s="204"/>
      <c r="BU38" s="204"/>
      <c r="BV38" s="204"/>
      <c r="BW38" s="204"/>
      <c r="BX38" s="204"/>
      <c r="BY38" s="204"/>
      <c r="BZ38" s="204"/>
      <c r="CA38" s="204"/>
      <c r="CB38" s="204"/>
      <c r="CC38" s="204"/>
    </row>
    <row r="39" spans="1:81" ht="16" x14ac:dyDescent="0.2">
      <c r="A39" s="237"/>
      <c r="B39" s="153"/>
      <c r="J39" s="253"/>
      <c r="K39" s="636">
        <v>2</v>
      </c>
      <c r="L39" s="714">
        <f t="array" ref="L39:R39">ARpolinomic($Q$13:$Q$16,$W$13:$W$16,K39)</f>
        <v>12452043.625</v>
      </c>
      <c r="M39" s="715">
        <v>-25279.495422363281</v>
      </c>
      <c r="N39" s="716">
        <v>21.174804925918579</v>
      </c>
      <c r="O39" s="715" t="e">
        <v>#N/A</v>
      </c>
      <c r="P39" s="716" t="e">
        <v>#N/A</v>
      </c>
      <c r="Q39" s="715" t="e">
        <v>#N/A</v>
      </c>
      <c r="R39" s="717" t="e">
        <v>#N/A</v>
      </c>
      <c r="X39" s="205"/>
      <c r="AC39" s="14"/>
      <c r="AP39" s="22"/>
      <c r="AU39" s="169"/>
      <c r="AV39" s="555"/>
      <c r="AW39" s="603"/>
      <c r="AX39" s="558"/>
      <c r="AY39" s="555"/>
      <c r="AZ39" s="555"/>
      <c r="BA39" s="555"/>
      <c r="BB39" s="555"/>
      <c r="BC39" s="555"/>
      <c r="BD39" s="437"/>
      <c r="BE39" s="574"/>
      <c r="BF39" s="574"/>
      <c r="BG39" s="574"/>
      <c r="BH39" s="574"/>
      <c r="BI39" s="561"/>
      <c r="BJ39" s="169"/>
      <c r="BK39" s="169"/>
      <c r="BT39" s="587"/>
      <c r="BV39" s="157"/>
    </row>
    <row r="40" spans="1:81" s="204" customFormat="1" x14ac:dyDescent="0.2">
      <c r="A40" s="16" t="s">
        <v>500</v>
      </c>
      <c r="B40" s="254"/>
      <c r="C40" s="255"/>
      <c r="D40" s="255"/>
      <c r="E40" s="613"/>
      <c r="F40" s="255"/>
      <c r="G40" s="613"/>
      <c r="H40" s="255"/>
      <c r="I40" s="203"/>
      <c r="J40" s="343"/>
      <c r="K40" s="613"/>
      <c r="L40" s="343"/>
      <c r="M40" s="203"/>
      <c r="O40" s="613"/>
      <c r="Q40" s="613"/>
      <c r="W40" s="255"/>
      <c r="X40" s="205">
        <v>1</v>
      </c>
      <c r="Y40" s="255"/>
      <c r="Z40" s="255"/>
      <c r="AA40" s="255"/>
      <c r="AB40" s="255"/>
      <c r="AC40" s="255"/>
      <c r="AD40" s="255"/>
      <c r="AE40" s="256" t="s">
        <v>581</v>
      </c>
      <c r="AF40" s="255" t="s">
        <v>563</v>
      </c>
      <c r="AG40" s="255"/>
      <c r="AH40" s="255"/>
      <c r="AI40" s="255"/>
      <c r="AJ40" s="699"/>
      <c r="AK40" s="699"/>
      <c r="AL40" s="699"/>
      <c r="AM40" s="699"/>
      <c r="AN40" s="255"/>
      <c r="AO40" s="255"/>
      <c r="AP40" s="613"/>
      <c r="AQ40" s="255"/>
      <c r="AR40" s="664"/>
      <c r="AS40" s="255"/>
      <c r="AT40" s="659"/>
      <c r="AU40" s="577"/>
      <c r="AV40" s="564"/>
      <c r="AW40" s="665"/>
      <c r="AX40" s="564"/>
      <c r="AY40" s="564"/>
      <c r="AZ40" s="475"/>
      <c r="BA40" s="475"/>
      <c r="BB40" s="475"/>
      <c r="BC40" s="475"/>
      <c r="BD40" s="552" t="s">
        <v>528</v>
      </c>
      <c r="BE40" s="553">
        <v>6</v>
      </c>
      <c r="BF40" s="554">
        <v>-5.84</v>
      </c>
      <c r="BG40" s="554">
        <v>0.13</v>
      </c>
      <c r="BH40" s="121">
        <v>3</v>
      </c>
      <c r="BI40" s="475"/>
      <c r="BJ40" s="475"/>
      <c r="BK40" s="161"/>
      <c r="BL40" s="14"/>
      <c r="BM40" s="14"/>
      <c r="BN40" s="14"/>
      <c r="BO40" s="14"/>
      <c r="BP40" s="14"/>
      <c r="BQ40" s="14"/>
      <c r="BR40" s="14"/>
      <c r="BS40" s="14"/>
      <c r="BT40" s="587"/>
      <c r="BU40" s="14"/>
      <c r="BV40" s="157"/>
      <c r="BW40" s="14"/>
      <c r="BX40" s="14"/>
      <c r="BY40" s="14"/>
      <c r="BZ40" s="14"/>
      <c r="CA40" s="14"/>
      <c r="CB40" s="14"/>
      <c r="CC40" s="14"/>
    </row>
    <row r="41" spans="1:81" s="161" customFormat="1" x14ac:dyDescent="0.2">
      <c r="A41" s="389" t="str">
        <f>'r-in'!A22</f>
        <v>003_B</v>
      </c>
      <c r="B41" s="691" t="s">
        <v>916</v>
      </c>
      <c r="C41" s="162">
        <f>'r-in'!P22</f>
        <v>3075.039039526207</v>
      </c>
      <c r="D41" s="162">
        <f>'r-in'!Q22</f>
        <v>5.7642595398122332</v>
      </c>
      <c r="E41" s="81">
        <f>'r-in'!R22</f>
        <v>1208650.4512353176</v>
      </c>
      <c r="F41" s="162">
        <f>'r-in'!S22</f>
        <v>0.64415533461482988</v>
      </c>
      <c r="G41" s="81">
        <f>'r-in'!T22</f>
        <v>2822.6013940533912</v>
      </c>
      <c r="H41" s="162">
        <f>'r-in'!U22</f>
        <v>6.2800087325069516</v>
      </c>
      <c r="I41" s="81">
        <f>'r-in'!V22</f>
        <v>2959.5945055320549</v>
      </c>
      <c r="J41" s="162">
        <f>'r-in'!W22</f>
        <v>3.9553177129954871</v>
      </c>
      <c r="K41" s="81">
        <f>'r-in'!X22</f>
        <v>5452652.2653063089</v>
      </c>
      <c r="L41" s="162">
        <f>'r-in'!Y22</f>
        <v>0.66278481855615645</v>
      </c>
      <c r="M41" s="81">
        <f>'r-in'!Z22</f>
        <v>1432.0007912981</v>
      </c>
      <c r="N41" s="162">
        <f>'r-in'!AA22</f>
        <v>14.366265909370648</v>
      </c>
      <c r="O41" s="81">
        <f>'r-in'!AB22</f>
        <v>1165971.0968432017</v>
      </c>
      <c r="P41" s="162">
        <f>'r-in'!AC22</f>
        <v>0.66829779829150737</v>
      </c>
      <c r="Q41" s="108">
        <f>'r-in'!AD22</f>
        <v>5362402.3228764832</v>
      </c>
      <c r="R41" s="162">
        <f>'r-in'!AE22</f>
        <v>0.67395844630219925</v>
      </c>
      <c r="S41" s="157">
        <f>'r-in'!AF22</f>
        <v>4.5864774359946106</v>
      </c>
      <c r="T41" s="157">
        <f>'r-in'!AG22</f>
        <v>1.8461279262472652E-2</v>
      </c>
      <c r="U41" s="157">
        <f>'r-in'!AH22</f>
        <v>4.5989736286928951</v>
      </c>
      <c r="V41" s="157">
        <f>'r-in'!AI22</f>
        <v>2.0746567721385552E-2</v>
      </c>
      <c r="W41" s="158">
        <v>3</v>
      </c>
      <c r="X41" s="764">
        <f t="shared" ref="X41:X54" si="18">$X$40 * Tb1Prim11B10B/($L$31 + $M$31*Tb1Order + IF($K$31&gt; 1,$N$31*Tb1Order^2) + IF($K$31&gt; 2,$O$31*Tb1Order^3) + IF($K$31&gt; 3,$P$31*Tb1Order^4) + IF($K$31&gt; 4,$Q$31*Tb1Order^5) + IF($K$31&gt; 5,$R$31*Tb1Order^6))</f>
        <v>0.88101962791562216</v>
      </c>
      <c r="Y41" s="589">
        <f>U41*X41</f>
        <v>4.0517860351447732</v>
      </c>
      <c r="Z41" s="589">
        <f>V41</f>
        <v>2.0746567721385552E-2</v>
      </c>
      <c r="AA41" s="473">
        <f>((Y41/AZ$29)-1)*1000</f>
        <v>-0.66937103347564086</v>
      </c>
      <c r="AB41" s="478">
        <f>AA41-(((Y41-(Y41/100*Z41))/AZ$29)-1)*1000</f>
        <v>0.20732680569901518</v>
      </c>
      <c r="AC41" s="108">
        <v>1</v>
      </c>
      <c r="AD41" s="159">
        <f t="shared" ref="AD41:AD54" si="19">($AQ$27*$AE$3^2)/ ($AE$40*Tb1SpotSize^2)</f>
        <v>0.18148138205052486</v>
      </c>
      <c r="AE41" s="160">
        <v>193</v>
      </c>
      <c r="AF41" s="160">
        <v>14</v>
      </c>
      <c r="AG41" s="160">
        <v>2.1</v>
      </c>
      <c r="AH41" s="719">
        <f t="shared" ref="AH41" si="20">Q41*AD41*$AH$18 /($L$33 + $M$33*Tb1Order + IF($K$33&gt; 1,$N$33*Tb1Order^2) + IF($K$33&gt; 2,$O$33*Tb1Order^3) + IF($K$33&gt; 3,$P$33*Tb1Order^4) + IF($K$33&gt; 4,$Q$33*Tb1Order^5) + IF($K$33&gt; 5,$R$33*Tb1Order^6))</f>
        <v>3.5459585526422859</v>
      </c>
      <c r="AI41" s="86">
        <f>Q41/M41</f>
        <v>3744.6922902992937</v>
      </c>
      <c r="AJ41" s="86"/>
      <c r="AK41" s="86"/>
      <c r="AL41" s="86"/>
      <c r="AM41" s="86"/>
      <c r="AO41" s="81"/>
      <c r="AP41" s="14"/>
      <c r="AQ41" s="568"/>
      <c r="AR41" s="568"/>
      <c r="AS41" s="576"/>
      <c r="AT41" s="660"/>
      <c r="AU41" s="576"/>
      <c r="AV41" s="736"/>
      <c r="AW41" s="568"/>
      <c r="AX41" s="720"/>
      <c r="AY41" s="475"/>
      <c r="AZ41" s="475"/>
      <c r="BA41" s="475"/>
      <c r="BB41" s="475"/>
      <c r="BC41" s="475"/>
      <c r="BD41" s="552" t="s">
        <v>543</v>
      </c>
      <c r="BE41" s="553">
        <v>3</v>
      </c>
      <c r="BF41" s="554">
        <v>-1.56</v>
      </c>
      <c r="BG41" s="554">
        <v>0.84</v>
      </c>
      <c r="BH41" s="121">
        <v>3</v>
      </c>
      <c r="BI41" s="475"/>
      <c r="BJ41" s="475"/>
      <c r="BL41" s="9"/>
      <c r="BM41" s="10"/>
      <c r="BN41" s="475"/>
      <c r="BO41" s="475"/>
      <c r="BP41" s="10"/>
    </row>
    <row r="42" spans="1:81" s="161" customFormat="1" x14ac:dyDescent="0.2">
      <c r="A42" s="389" t="str">
        <f>'r-in'!A23</f>
        <v>004_B</v>
      </c>
      <c r="B42" s="691" t="s">
        <v>916</v>
      </c>
      <c r="C42" s="162">
        <f>'r-in'!P23</f>
        <v>3050.3285810783104</v>
      </c>
      <c r="D42" s="162">
        <f>'r-in'!Q23</f>
        <v>5.7424134652457504</v>
      </c>
      <c r="E42" s="81">
        <f>'r-in'!R23</f>
        <v>1228593.4073352311</v>
      </c>
      <c r="F42" s="162">
        <f>'r-in'!S23</f>
        <v>0.68656756654603512</v>
      </c>
      <c r="G42" s="81">
        <f>'r-in'!T23</f>
        <v>2390.5005732535078</v>
      </c>
      <c r="H42" s="162">
        <f>'r-in'!U23</f>
        <v>6.1625560944778863</v>
      </c>
      <c r="I42" s="81">
        <f>'r-in'!V23</f>
        <v>2748.5766900838016</v>
      </c>
      <c r="J42" s="162">
        <f>'r-in'!W23</f>
        <v>4.1451466715956835</v>
      </c>
      <c r="K42" s="81">
        <f>'r-in'!X23</f>
        <v>5543176.9493259769</v>
      </c>
      <c r="L42" s="162">
        <f>'r-in'!Y23</f>
        <v>0.70329176583545916</v>
      </c>
      <c r="M42" s="81">
        <f>'r-in'!Z23</f>
        <v>2939.5894457186128</v>
      </c>
      <c r="N42" s="162">
        <f>'r-in'!AA23</f>
        <v>7.2242157299188987</v>
      </c>
      <c r="O42" s="81">
        <f>'r-in'!AB23</f>
        <v>1186356.7652055235</v>
      </c>
      <c r="P42" s="162">
        <f>'r-in'!AC23</f>
        <v>0.71214519060967607</v>
      </c>
      <c r="Q42" s="108">
        <f>'r-in'!AD23</f>
        <v>5452258.70006763</v>
      </c>
      <c r="R42" s="162">
        <f>'r-in'!AE23</f>
        <v>0.71538382352227747</v>
      </c>
      <c r="S42" s="157">
        <f>'r-in'!AF23</f>
        <v>4.5857815058116049</v>
      </c>
      <c r="T42" s="157">
        <f>'r-in'!AG23</f>
        <v>1.8469461827230395E-2</v>
      </c>
      <c r="U42" s="157">
        <f>'r-in'!AH23</f>
        <v>4.5957451699302521</v>
      </c>
      <c r="V42" s="157">
        <f>'r-in'!AI23</f>
        <v>1.8919332153637485E-2</v>
      </c>
      <c r="W42" s="158">
        <v>4</v>
      </c>
      <c r="X42" s="764">
        <f t="shared" si="18"/>
        <v>0.88097371014403725</v>
      </c>
      <c r="Y42" s="589">
        <f t="shared" ref="Y42:Y43" si="21">U42*X42</f>
        <v>4.0487306732299935</v>
      </c>
      <c r="Z42" s="589">
        <f t="shared" ref="Z42:Z43" si="22">V42</f>
        <v>1.8919332153637485E-2</v>
      </c>
      <c r="AA42" s="473">
        <f t="shared" ref="AA42:AA43" si="23">((Y42/AZ$29)-1)*1000</f>
        <v>-1.4229440794195636</v>
      </c>
      <c r="AB42" s="478">
        <f t="shared" ref="AB42:AB43" si="24">AA42-(((Y42-(Y42/100*Z42))/AZ$29)-1)*1000</f>
        <v>0.18892411001969478</v>
      </c>
      <c r="AC42" s="108">
        <v>1</v>
      </c>
      <c r="AD42" s="159">
        <f>($AQ$27*$AE$3^2)/ ($AE$40*Tb1SpotSize^2)</f>
        <v>0.18148138205052486</v>
      </c>
      <c r="AE42" s="160">
        <v>193</v>
      </c>
      <c r="AF42" s="160">
        <v>14</v>
      </c>
      <c r="AG42" s="160">
        <v>2.1</v>
      </c>
      <c r="AH42" s="719">
        <f>Q42*AD42*$AH$18 /($L$33 + $M$33*Tb1Order + IF($K$33&gt; 1,$N$33*Tb1Order^2) + IF($K$33&gt; 2,$O$33*Tb1Order^3) + IF($K$33&gt; 3,$P$33*Tb1Order^4) + IF($K$33&gt; 4,$Q$33*Tb1Order^5) + IF($K$33&gt; 5,$R$33*Tb1Order^6))</f>
        <v>3.6148472204403266</v>
      </c>
      <c r="AI42" s="86">
        <f t="shared" ref="AI42:AI43" si="25">Q42/M42</f>
        <v>1854.7687698391398</v>
      </c>
      <c r="AJ42" s="86"/>
      <c r="AK42" s="86"/>
      <c r="AL42" s="86"/>
      <c r="AM42" s="86"/>
      <c r="AP42" s="14"/>
      <c r="AQ42" s="14"/>
      <c r="AR42" s="14"/>
      <c r="AS42" s="14"/>
      <c r="AT42" s="653"/>
      <c r="AU42" s="14"/>
      <c r="AV42" s="14"/>
      <c r="AW42" s="594"/>
      <c r="AX42" s="14"/>
      <c r="AY42" s="475"/>
      <c r="AZ42" s="475"/>
      <c r="BA42" s="475"/>
      <c r="BB42" s="475"/>
      <c r="BC42" s="475"/>
      <c r="BD42" s="552" t="s">
        <v>544</v>
      </c>
      <c r="BE42" s="553">
        <v>2</v>
      </c>
      <c r="BF42" s="554">
        <v>7.2</v>
      </c>
      <c r="BG42" s="554">
        <v>3.9</v>
      </c>
      <c r="BH42" s="121"/>
      <c r="BI42" s="475"/>
      <c r="BJ42" s="475"/>
      <c r="BK42" s="475"/>
      <c r="BL42" s="475"/>
    </row>
    <row r="43" spans="1:81" s="161" customFormat="1" x14ac:dyDescent="0.2">
      <c r="A43" s="389" t="str">
        <f>'r-in'!A24</f>
        <v>053_B</v>
      </c>
      <c r="B43" s="691" t="s">
        <v>916</v>
      </c>
      <c r="C43" s="162">
        <f>'r-in'!P24</f>
        <v>2754.1967152954649</v>
      </c>
      <c r="D43" s="162">
        <f>'r-in'!Q24</f>
        <v>6.4357546143598974</v>
      </c>
      <c r="E43" s="81">
        <f>'r-in'!R24</f>
        <v>1109029.2496416904</v>
      </c>
      <c r="F43" s="162">
        <f>'r-in'!S24</f>
        <v>0.77013584755107789</v>
      </c>
      <c r="G43" s="81">
        <f>'r-in'!T24</f>
        <v>2287.4161027392984</v>
      </c>
      <c r="H43" s="162">
        <f>'r-in'!U24</f>
        <v>7.8964802203164881</v>
      </c>
      <c r="I43" s="81">
        <f>'r-in'!V24</f>
        <v>2540.7290678963604</v>
      </c>
      <c r="J43" s="162">
        <f>'r-in'!W24</f>
        <v>5.3237972979458501</v>
      </c>
      <c r="K43" s="81">
        <f>'r-in'!X24</f>
        <v>5001286.6852244064</v>
      </c>
      <c r="L43" s="162">
        <f>'r-in'!Y24</f>
        <v>0.79601943786020646</v>
      </c>
      <c r="M43" s="81">
        <f>'r-in'!Z24</f>
        <v>1811.0825114506886</v>
      </c>
      <c r="N43" s="162">
        <f>'r-in'!AA24</f>
        <v>13.035234381884669</v>
      </c>
      <c r="O43" s="81">
        <f>'r-in'!AB24</f>
        <v>1068703.7996410306</v>
      </c>
      <c r="P43" s="162">
        <f>'r-in'!AC24</f>
        <v>0.80037494531634756</v>
      </c>
      <c r="Q43" s="108">
        <f>'r-in'!AD24</f>
        <v>4918771.710315018</v>
      </c>
      <c r="R43" s="162">
        <f>'r-in'!AE24</f>
        <v>0.81001215713426711</v>
      </c>
      <c r="S43" s="157">
        <f>'r-in'!AF24</f>
        <v>4.5910841826738444</v>
      </c>
      <c r="T43" s="157">
        <f>'r-in'!AG24</f>
        <v>1.6564612659882124E-2</v>
      </c>
      <c r="U43" s="157">
        <f>'r-in'!AH24</f>
        <v>4.6023190033371133</v>
      </c>
      <c r="V43" s="157">
        <f>'r-in'!AI24</f>
        <v>2.1486844397500239E-2</v>
      </c>
      <c r="W43" s="158">
        <v>53</v>
      </c>
      <c r="X43" s="764">
        <f t="shared" si="18"/>
        <v>0.88017995361678358</v>
      </c>
      <c r="Y43" s="589">
        <f t="shared" si="21"/>
        <v>4.0508689268869018</v>
      </c>
      <c r="Z43" s="589">
        <f t="shared" si="22"/>
        <v>2.1486844397500239E-2</v>
      </c>
      <c r="AA43" s="473">
        <f t="shared" si="23"/>
        <v>-0.89556618895014761</v>
      </c>
      <c r="AB43" s="478">
        <f t="shared" si="24"/>
        <v>0.21467601506131029</v>
      </c>
      <c r="AC43" s="108">
        <v>1</v>
      </c>
      <c r="AD43" s="159">
        <f t="shared" si="19"/>
        <v>0.18148138205052486</v>
      </c>
      <c r="AE43" s="160">
        <v>193</v>
      </c>
      <c r="AF43" s="160">
        <v>14</v>
      </c>
      <c r="AG43" s="160">
        <v>2.1</v>
      </c>
      <c r="AH43" s="719">
        <f t="shared" ref="AH43:AH54" si="26">Q43*AD43*$AH$18 /($L$33 + $M$33*Tb1Order + IF($K$33&gt; 1,$N$33*Tb1Order^2) + IF($K$33&gt; 2,$O$33*Tb1Order^3) + IF($K$33&gt; 3,$P$33*Tb1Order^4) + IF($K$33&gt; 4,$Q$33*Tb1Order^5) + IF($K$33&gt; 5,$R$33*Tb1Order^6))</f>
        <v>3.6254751754029302</v>
      </c>
      <c r="AI43" s="86">
        <f t="shared" si="25"/>
        <v>2715.9291082630193</v>
      </c>
      <c r="AJ43" s="86"/>
      <c r="AK43" s="86"/>
      <c r="AL43" s="86"/>
      <c r="AM43" s="86"/>
      <c r="AO43" s="81"/>
      <c r="AP43" s="14"/>
      <c r="AQ43" s="568"/>
      <c r="AR43" s="568"/>
      <c r="AS43" s="576"/>
      <c r="AT43" s="660"/>
      <c r="AU43" s="576"/>
      <c r="AV43" s="736"/>
      <c r="AW43" s="568"/>
      <c r="AX43" s="720"/>
      <c r="AY43" s="475"/>
      <c r="AZ43" s="475"/>
      <c r="BA43" s="475"/>
      <c r="BB43" s="475"/>
      <c r="BC43" s="475"/>
      <c r="BD43" s="552" t="s">
        <v>547</v>
      </c>
      <c r="BE43" s="553">
        <v>1</v>
      </c>
      <c r="BF43" s="554">
        <v>15.96</v>
      </c>
      <c r="BG43" s="554">
        <v>6.96</v>
      </c>
      <c r="BH43" s="121">
        <v>3</v>
      </c>
      <c r="BI43" s="475"/>
      <c r="BJ43" s="475"/>
      <c r="BL43" s="9"/>
      <c r="BM43" s="10"/>
      <c r="BN43" s="475"/>
      <c r="BO43" s="475"/>
      <c r="BP43" s="10"/>
    </row>
    <row r="44" spans="1:81" s="161" customFormat="1" x14ac:dyDescent="0.2">
      <c r="A44" s="389" t="str">
        <f>'r-in'!A25</f>
        <v>054_B</v>
      </c>
      <c r="B44" s="691" t="s">
        <v>916</v>
      </c>
      <c r="C44" s="162">
        <f>'r-in'!P25</f>
        <v>2557.621690946798</v>
      </c>
      <c r="D44" s="162">
        <f>'r-in'!Q25</f>
        <v>6.9512678716178318</v>
      </c>
      <c r="E44" s="81">
        <f>'r-in'!R25</f>
        <v>1090581.9195036914</v>
      </c>
      <c r="F44" s="162">
        <f>'r-in'!S25</f>
        <v>0.52001876126871616</v>
      </c>
      <c r="G44" s="81">
        <f>'r-in'!T25</f>
        <v>2509.5246664213005</v>
      </c>
      <c r="H44" s="162">
        <f>'r-in'!U25</f>
        <v>6.7130071312944501</v>
      </c>
      <c r="I44" s="81">
        <f>'r-in'!V25</f>
        <v>2535.6260073297549</v>
      </c>
      <c r="J44" s="162">
        <f>'r-in'!W25</f>
        <v>4.2177348925147946</v>
      </c>
      <c r="K44" s="81">
        <f>'r-in'!X25</f>
        <v>4914819.2390910294</v>
      </c>
      <c r="L44" s="162">
        <f>'r-in'!Y25</f>
        <v>0.53558321520866303</v>
      </c>
      <c r="M44" s="81">
        <f>'r-in'!Z25</f>
        <v>2663.883162567337</v>
      </c>
      <c r="N44" s="162">
        <f>'r-in'!AA25</f>
        <v>7.5943495343684546</v>
      </c>
      <c r="O44" s="81">
        <f>'r-in'!AB25</f>
        <v>1050383.8423336148</v>
      </c>
      <c r="P44" s="162">
        <f>'r-in'!AC25</f>
        <v>0.53990258092753507</v>
      </c>
      <c r="Q44" s="108">
        <f>'r-in'!AD25</f>
        <v>4831441.009043429</v>
      </c>
      <c r="R44" s="162">
        <f>'r-in'!AE25</f>
        <v>0.54383211767400153</v>
      </c>
      <c r="S44" s="157">
        <f>'r-in'!AF25</f>
        <v>4.5889670766269157</v>
      </c>
      <c r="T44" s="157">
        <f>'r-in'!AG25</f>
        <v>1.7899220703837763E-2</v>
      </c>
      <c r="U44" s="157">
        <f>'r-in'!AH25</f>
        <v>4.5996277041272231</v>
      </c>
      <c r="V44" s="157">
        <f>'r-in'!AI25</f>
        <v>1.7608914067408502E-2</v>
      </c>
      <c r="W44" s="158">
        <v>54</v>
      </c>
      <c r="X44" s="764">
        <f t="shared" si="18"/>
        <v>0.88018620264552017</v>
      </c>
      <c r="Y44" s="589">
        <f t="shared" ref="Y44:Y54" si="27">U44*X44</f>
        <v>4.0485288424788726</v>
      </c>
      <c r="Z44" s="589">
        <f t="shared" ref="Z44:Z54" si="28">V44</f>
        <v>1.7608914067408502E-2</v>
      </c>
      <c r="AA44" s="473">
        <f t="shared" ref="AA44:AA54" si="29">((Y44/AZ$29)-1)*1000</f>
        <v>-1.4727235222906643</v>
      </c>
      <c r="AB44" s="478">
        <f t="shared" ref="AB44:AB54" si="30">AA44-(((Y44-(Y44/100*Z44))/AZ$29)-1)*1000</f>
        <v>0.17582981005459519</v>
      </c>
      <c r="AC44" s="108">
        <v>1</v>
      </c>
      <c r="AD44" s="159">
        <f t="shared" si="19"/>
        <v>0.18148138205052486</v>
      </c>
      <c r="AE44" s="160">
        <v>193</v>
      </c>
      <c r="AF44" s="160">
        <v>14</v>
      </c>
      <c r="AG44" s="160">
        <v>2.1</v>
      </c>
      <c r="AH44" s="719">
        <f t="shared" si="26"/>
        <v>3.5672001326334062</v>
      </c>
      <c r="AI44" s="86">
        <f t="shared" ref="AI44:AI54" si="31">Q44/M44</f>
        <v>1813.6835267155982</v>
      </c>
      <c r="AJ44" s="86"/>
      <c r="AK44" s="86"/>
      <c r="AL44" s="86"/>
      <c r="AM44" s="86"/>
      <c r="AP44" s="14"/>
      <c r="AQ44" s="14"/>
      <c r="AR44" s="14"/>
      <c r="AS44" s="14"/>
      <c r="AT44" s="653"/>
      <c r="AU44" s="14"/>
      <c r="AV44" s="14"/>
      <c r="AW44" s="594"/>
      <c r="AX44" s="14"/>
      <c r="AY44" s="475"/>
      <c r="AZ44" s="475"/>
      <c r="BA44" s="475"/>
      <c r="BB44" s="475"/>
      <c r="BC44" s="475"/>
      <c r="BD44" s="552" t="s">
        <v>548</v>
      </c>
      <c r="BE44" s="553">
        <v>0</v>
      </c>
      <c r="BF44" s="554">
        <v>24.72</v>
      </c>
      <c r="BG44" s="554">
        <v>10.02</v>
      </c>
      <c r="BH44" s="121"/>
      <c r="BI44" s="475"/>
      <c r="BJ44" s="475"/>
      <c r="BK44" s="475"/>
      <c r="BL44" s="475"/>
    </row>
    <row r="45" spans="1:81" s="161" customFormat="1" x14ac:dyDescent="0.2">
      <c r="A45" s="389" t="str">
        <f>'r-in'!A26</f>
        <v>103_B</v>
      </c>
      <c r="B45" s="691" t="s">
        <v>916</v>
      </c>
      <c r="C45" s="162">
        <f>'r-in'!P26</f>
        <v>2344.1746030819854</v>
      </c>
      <c r="D45" s="162">
        <f>'r-in'!Q26</f>
        <v>6.6577724513730256</v>
      </c>
      <c r="E45" s="81">
        <f>'r-in'!R26</f>
        <v>1074037.8682319149</v>
      </c>
      <c r="F45" s="162">
        <f>'r-in'!S26</f>
        <v>0.63990637118094562</v>
      </c>
      <c r="G45" s="81">
        <f>'r-in'!T26</f>
        <v>1890.9884705002723</v>
      </c>
      <c r="H45" s="162">
        <f>'r-in'!U26</f>
        <v>8.9585676163186925</v>
      </c>
      <c r="I45" s="81">
        <f>'r-in'!V26</f>
        <v>2136.9239697997891</v>
      </c>
      <c r="J45" s="162">
        <f>'r-in'!W26</f>
        <v>4.7493026932658253</v>
      </c>
      <c r="K45" s="81">
        <f>'r-in'!X26</f>
        <v>4843716.5155289154</v>
      </c>
      <c r="L45" s="162">
        <f>'r-in'!Y26</f>
        <v>0.65563206797144324</v>
      </c>
      <c r="M45" s="81">
        <f>'r-in'!Z26</f>
        <v>1766.7833629176769</v>
      </c>
      <c r="N45" s="162">
        <f>'r-in'!AA26</f>
        <v>14.388458772166947</v>
      </c>
      <c r="O45" s="81">
        <f>'r-in'!AB26</f>
        <v>1035755.6670848402</v>
      </c>
      <c r="P45" s="162">
        <f>'r-in'!AC26</f>
        <v>0.66348313872671316</v>
      </c>
      <c r="Q45" s="108">
        <f>'r-in'!AD26</f>
        <v>4763726.8392416751</v>
      </c>
      <c r="R45" s="162">
        <f>'r-in'!AE26</f>
        <v>0.66575715617750297</v>
      </c>
      <c r="S45" s="157">
        <f>'r-in'!AF26</f>
        <v>4.5894872628022521</v>
      </c>
      <c r="T45" s="157">
        <f>'r-in'!AG26</f>
        <v>2.0708602567210646E-2</v>
      </c>
      <c r="U45" s="157">
        <f>'r-in'!AH26</f>
        <v>4.5992443544648776</v>
      </c>
      <c r="V45" s="157">
        <f>'r-in'!AI26</f>
        <v>2.3145272232378885E-2</v>
      </c>
      <c r="W45" s="158">
        <v>103</v>
      </c>
      <c r="X45" s="764">
        <f t="shared" si="18"/>
        <v>0.8810246104070304</v>
      </c>
      <c r="Y45" s="589">
        <f t="shared" si="27"/>
        <v>4.052047465559153</v>
      </c>
      <c r="Z45" s="589">
        <f t="shared" si="28"/>
        <v>2.3145272232378885E-2</v>
      </c>
      <c r="AA45" s="473">
        <f t="shared" si="29"/>
        <v>-0.60489195729362955</v>
      </c>
      <c r="AB45" s="478">
        <f t="shared" si="30"/>
        <v>0.23131271843357393</v>
      </c>
      <c r="AC45" s="108">
        <v>1</v>
      </c>
      <c r="AD45" s="159">
        <f t="shared" si="19"/>
        <v>0.18148138205052486</v>
      </c>
      <c r="AE45" s="160">
        <v>193</v>
      </c>
      <c r="AF45" s="160">
        <v>14</v>
      </c>
      <c r="AG45" s="160">
        <v>2.1</v>
      </c>
      <c r="AH45" s="719">
        <f t="shared" si="26"/>
        <v>3.7509009839389069</v>
      </c>
      <c r="AI45" s="86">
        <f t="shared" si="31"/>
        <v>2696.2710535007686</v>
      </c>
      <c r="AJ45" s="86"/>
      <c r="AK45" s="86"/>
      <c r="AL45" s="86"/>
      <c r="AM45" s="86"/>
      <c r="AO45" s="81"/>
      <c r="AP45" s="14"/>
      <c r="AQ45" s="568"/>
      <c r="AR45" s="568"/>
      <c r="AS45" s="576"/>
      <c r="AT45" s="660"/>
      <c r="AU45" s="576"/>
      <c r="AV45" s="736"/>
      <c r="AW45" s="568"/>
      <c r="AX45" s="720"/>
      <c r="AY45" s="475"/>
      <c r="AZ45" s="475"/>
      <c r="BA45" s="475"/>
      <c r="BB45" s="475"/>
      <c r="BC45" s="475"/>
      <c r="BD45" s="552" t="s">
        <v>549</v>
      </c>
      <c r="BE45" s="553">
        <v>-1</v>
      </c>
      <c r="BF45" s="554">
        <v>33.479999999999997</v>
      </c>
      <c r="BG45" s="554">
        <v>13.08</v>
      </c>
      <c r="BH45" s="121">
        <v>3</v>
      </c>
      <c r="BI45" s="475"/>
      <c r="BJ45" s="475"/>
      <c r="BL45" s="9"/>
      <c r="BM45" s="10"/>
      <c r="BN45" s="475"/>
      <c r="BO45" s="475"/>
      <c r="BP45" s="10"/>
    </row>
    <row r="46" spans="1:81" s="161" customFormat="1" x14ac:dyDescent="0.2">
      <c r="A46" s="389" t="str">
        <f>'r-in'!A27</f>
        <v>104_B</v>
      </c>
      <c r="B46" s="691" t="s">
        <v>916</v>
      </c>
      <c r="C46" s="162">
        <f>'r-in'!P27</f>
        <v>2252.2365514381222</v>
      </c>
      <c r="D46" s="162">
        <f>'r-in'!Q27</f>
        <v>7.1134842235733204</v>
      </c>
      <c r="E46" s="81">
        <f>'r-in'!R27</f>
        <v>1043682.9113052844</v>
      </c>
      <c r="F46" s="162">
        <f>'r-in'!S27</f>
        <v>0.59494452810236953</v>
      </c>
      <c r="G46" s="81">
        <f>'r-in'!T27</f>
        <v>2094.1724145696085</v>
      </c>
      <c r="H46" s="162">
        <f>'r-in'!U27</f>
        <v>7.4622079616929149</v>
      </c>
      <c r="I46" s="81">
        <f>'r-in'!V27</f>
        <v>2179.9508169241763</v>
      </c>
      <c r="J46" s="162">
        <f>'r-in'!W27</f>
        <v>5.376953397103807</v>
      </c>
      <c r="K46" s="81">
        <f>'r-in'!X27</f>
        <v>4700196.7759858528</v>
      </c>
      <c r="L46" s="162">
        <f>'r-in'!Y27</f>
        <v>0.61646086471024875</v>
      </c>
      <c r="M46" s="81">
        <f>'r-in'!Z27</f>
        <v>2327.9259486053356</v>
      </c>
      <c r="N46" s="162">
        <f>'r-in'!AA27</f>
        <v>9.6384439561759407</v>
      </c>
      <c r="O46" s="81">
        <f>'r-in'!AB27</f>
        <v>1005518.9211718091</v>
      </c>
      <c r="P46" s="162">
        <f>'r-in'!AC27</f>
        <v>0.61731491280709938</v>
      </c>
      <c r="Q46" s="108">
        <f>'r-in'!AD27</f>
        <v>4621064.3263564119</v>
      </c>
      <c r="R46" s="162">
        <f>'r-in'!AE27</f>
        <v>0.62713356844482582</v>
      </c>
      <c r="S46" s="157">
        <f>'r-in'!AF27</f>
        <v>4.5847197224861365</v>
      </c>
      <c r="T46" s="157">
        <f>'r-in'!AG27</f>
        <v>1.7005635597903773E-2</v>
      </c>
      <c r="U46" s="157">
        <f>'r-in'!AH27</f>
        <v>4.5955264058559964</v>
      </c>
      <c r="V46" s="157">
        <f>'r-in'!AI27</f>
        <v>2.3170705567021138E-2</v>
      </c>
      <c r="W46" s="158">
        <v>104</v>
      </c>
      <c r="X46" s="764">
        <f t="shared" si="18"/>
        <v>0.88104786912221422</v>
      </c>
      <c r="Y46" s="589">
        <f t="shared" si="27"/>
        <v>4.0488787473742933</v>
      </c>
      <c r="Z46" s="589">
        <f t="shared" si="28"/>
        <v>2.3170705567021138E-2</v>
      </c>
      <c r="AA46" s="473">
        <f t="shared" si="29"/>
        <v>-1.3864231411288008</v>
      </c>
      <c r="AB46" s="478">
        <f t="shared" si="30"/>
        <v>0.23138581164627858</v>
      </c>
      <c r="AC46" s="108">
        <v>1</v>
      </c>
      <c r="AD46" s="159">
        <f t="shared" si="19"/>
        <v>0.18148138205052486</v>
      </c>
      <c r="AE46" s="160">
        <v>193</v>
      </c>
      <c r="AF46" s="160">
        <v>14</v>
      </c>
      <c r="AG46" s="160">
        <v>2.1</v>
      </c>
      <c r="AH46" s="719">
        <f t="shared" si="26"/>
        <v>3.6420672478115006</v>
      </c>
      <c r="AI46" s="86">
        <f t="shared" si="31"/>
        <v>1985.0564100309546</v>
      </c>
      <c r="AJ46" s="86"/>
      <c r="AK46" s="86"/>
      <c r="AL46" s="86"/>
      <c r="AM46" s="86"/>
      <c r="AP46" s="14"/>
      <c r="AQ46" s="14"/>
      <c r="AR46" s="14"/>
      <c r="AS46" s="14"/>
      <c r="AT46" s="653"/>
      <c r="AU46" s="14"/>
      <c r="AV46" s="14"/>
      <c r="AW46" s="594"/>
      <c r="AX46" s="14"/>
      <c r="AY46" s="475"/>
      <c r="AZ46" s="475"/>
      <c r="BA46" s="475"/>
      <c r="BB46" s="475"/>
      <c r="BC46" s="475"/>
      <c r="BD46" s="552" t="s">
        <v>550</v>
      </c>
      <c r="BE46" s="553">
        <v>-2</v>
      </c>
      <c r="BF46" s="554">
        <v>42.24</v>
      </c>
      <c r="BG46" s="554">
        <v>16.14</v>
      </c>
      <c r="BH46" s="121"/>
      <c r="BI46" s="475"/>
      <c r="BJ46" s="475"/>
      <c r="BK46" s="475"/>
      <c r="BL46" s="475"/>
    </row>
    <row r="47" spans="1:81" s="161" customFormat="1" x14ac:dyDescent="0.2">
      <c r="A47" s="389" t="str">
        <f>'r-in'!A28</f>
        <v>153_B</v>
      </c>
      <c r="B47" s="691" t="s">
        <v>916</v>
      </c>
      <c r="C47" s="162">
        <f>'r-in'!P28</f>
        <v>2216.1018922641529</v>
      </c>
      <c r="D47" s="162">
        <f>'r-in'!Q28</f>
        <v>7.6590690308383378</v>
      </c>
      <c r="E47" s="81">
        <f>'r-in'!R28</f>
        <v>1012285.2981413868</v>
      </c>
      <c r="F47" s="162">
        <f>'r-in'!S28</f>
        <v>0.58011997623732214</v>
      </c>
      <c r="G47" s="81">
        <f>'r-in'!T28</f>
        <v>1847.4385556490395</v>
      </c>
      <c r="H47" s="162">
        <f>'r-in'!U28</f>
        <v>9.6596663922454145</v>
      </c>
      <c r="I47" s="81">
        <f>'r-in'!V28</f>
        <v>2047.5051403155855</v>
      </c>
      <c r="J47" s="162">
        <f>'r-in'!W28</f>
        <v>5.9682596156959828</v>
      </c>
      <c r="K47" s="81">
        <f>'r-in'!X28</f>
        <v>4554728.0407596529</v>
      </c>
      <c r="L47" s="162">
        <f>'r-in'!Y28</f>
        <v>0.5950357733279924</v>
      </c>
      <c r="M47" s="81">
        <f>'r-in'!Z28</f>
        <v>2141.6831924600733</v>
      </c>
      <c r="N47" s="162">
        <f>'r-in'!AA28</f>
        <v>11.389451885439772</v>
      </c>
      <c r="O47" s="81">
        <f>'r-in'!AB28</f>
        <v>975431.01750430837</v>
      </c>
      <c r="P47" s="162">
        <f>'r-in'!AC28</f>
        <v>0.60413717141706957</v>
      </c>
      <c r="Q47" s="108">
        <f>'r-in'!AD28</f>
        <v>4477532.9993121484</v>
      </c>
      <c r="R47" s="162">
        <f>'r-in'!AE28</f>
        <v>0.60541976522898677</v>
      </c>
      <c r="S47" s="157">
        <f>'r-in'!AF28</f>
        <v>4.579397040795997</v>
      </c>
      <c r="T47" s="157">
        <f>'r-in'!AG28</f>
        <v>2.2001104238003461E-2</v>
      </c>
      <c r="U47" s="157">
        <f>'r-in'!AH28</f>
        <v>4.5903050856749568</v>
      </c>
      <c r="V47" s="157">
        <f>'r-in'!AI28</f>
        <v>2.4034510374945754E-2</v>
      </c>
      <c r="W47" s="158">
        <v>153</v>
      </c>
      <c r="X47" s="764">
        <f t="shared" si="18"/>
        <v>0.88215772682400206</v>
      </c>
      <c r="Y47" s="589">
        <f t="shared" si="27"/>
        <v>4.049373099807676</v>
      </c>
      <c r="Z47" s="589">
        <f t="shared" si="28"/>
        <v>2.4034510374945754E-2</v>
      </c>
      <c r="AA47" s="473">
        <f t="shared" si="29"/>
        <v>-1.2644962861817488</v>
      </c>
      <c r="AB47" s="478">
        <f t="shared" si="30"/>
        <v>0.24004118825848852</v>
      </c>
      <c r="AC47" s="108">
        <v>1</v>
      </c>
      <c r="AD47" s="159">
        <f t="shared" si="19"/>
        <v>0.18148138205052486</v>
      </c>
      <c r="AE47" s="160">
        <v>193</v>
      </c>
      <c r="AF47" s="160">
        <v>14</v>
      </c>
      <c r="AG47" s="160">
        <v>2.1</v>
      </c>
      <c r="AH47" s="719">
        <f t="shared" si="26"/>
        <v>3.6555583079820253</v>
      </c>
      <c r="AI47" s="86">
        <f t="shared" si="31"/>
        <v>2090.6607546230821</v>
      </c>
      <c r="AJ47" s="86"/>
      <c r="AK47" s="86"/>
      <c r="AL47" s="86"/>
      <c r="AM47" s="86"/>
      <c r="AO47" s="81"/>
      <c r="AP47" s="14"/>
      <c r="AQ47" s="568"/>
      <c r="AR47" s="568"/>
      <c r="AS47" s="576"/>
      <c r="AT47" s="660"/>
      <c r="AU47" s="576"/>
      <c r="AV47" s="736"/>
      <c r="AW47" s="568"/>
      <c r="AX47" s="720"/>
      <c r="AY47" s="475"/>
      <c r="AZ47" s="475"/>
      <c r="BA47" s="475"/>
      <c r="BB47" s="475"/>
      <c r="BC47" s="475"/>
      <c r="BD47" s="552" t="s">
        <v>551</v>
      </c>
      <c r="BE47" s="553">
        <v>-3</v>
      </c>
      <c r="BF47" s="554">
        <v>51</v>
      </c>
      <c r="BG47" s="554">
        <v>19.2</v>
      </c>
      <c r="BH47" s="121">
        <v>3</v>
      </c>
      <c r="BI47" s="475"/>
      <c r="BJ47" s="475"/>
      <c r="BL47" s="9"/>
      <c r="BM47" s="10"/>
      <c r="BN47" s="475"/>
      <c r="BO47" s="475"/>
      <c r="BP47" s="10"/>
    </row>
    <row r="48" spans="1:81" s="161" customFormat="1" x14ac:dyDescent="0.2">
      <c r="A48" s="389" t="str">
        <f>'r-in'!A29</f>
        <v>154_B</v>
      </c>
      <c r="B48" s="691" t="s">
        <v>916</v>
      </c>
      <c r="C48" s="162">
        <f>'r-in'!P29</f>
        <v>2610.5799657882126</v>
      </c>
      <c r="D48" s="162">
        <f>'r-in'!Q29</f>
        <v>6.8553120905797664</v>
      </c>
      <c r="E48" s="81">
        <f>'r-in'!R29</f>
        <v>1003008.5613321598</v>
      </c>
      <c r="F48" s="162">
        <f>'r-in'!S29</f>
        <v>0.60525939079557078</v>
      </c>
      <c r="G48" s="81">
        <f>'r-in'!T29</f>
        <v>2036.6697826443685</v>
      </c>
      <c r="H48" s="162">
        <f>'r-in'!U29</f>
        <v>9.1514997690097974</v>
      </c>
      <c r="I48" s="81">
        <f>'r-in'!V29</f>
        <v>2348.1199292772399</v>
      </c>
      <c r="J48" s="162">
        <f>'r-in'!W29</f>
        <v>5.4346115821339769</v>
      </c>
      <c r="K48" s="81">
        <f>'r-in'!X29</f>
        <v>4514199.1632489152</v>
      </c>
      <c r="L48" s="162">
        <f>'r-in'!Y29</f>
        <v>0.61725171299657511</v>
      </c>
      <c r="M48" s="81">
        <f>'r-in'!Z29</f>
        <v>2377.7815043651581</v>
      </c>
      <c r="N48" s="162">
        <f>'r-in'!AA29</f>
        <v>11.31541649198685</v>
      </c>
      <c r="O48" s="81">
        <f>'r-in'!AB29</f>
        <v>965822.6446675224</v>
      </c>
      <c r="P48" s="162">
        <f>'r-in'!AC29</f>
        <v>0.6314338475737491</v>
      </c>
      <c r="Q48" s="108">
        <f>'r-in'!AD29</f>
        <v>4436672.1672417931</v>
      </c>
      <c r="R48" s="162">
        <f>'r-in'!AE29</f>
        <v>0.6301958398161287</v>
      </c>
      <c r="S48" s="157">
        <f>'r-in'!AF29</f>
        <v>4.5819470885513249</v>
      </c>
      <c r="T48" s="157">
        <f>'r-in'!AG29</f>
        <v>2.0906976667023819E-2</v>
      </c>
      <c r="U48" s="157">
        <f>'r-in'!AH29</f>
        <v>4.5937102068053139</v>
      </c>
      <c r="V48" s="157">
        <f>'r-in'!AI29</f>
        <v>2.6096700839118022E-2</v>
      </c>
      <c r="W48" s="158">
        <v>154</v>
      </c>
      <c r="X48" s="764">
        <f t="shared" si="18"/>
        <v>0.88217752095376223</v>
      </c>
      <c r="Y48" s="589">
        <f t="shared" si="27"/>
        <v>4.0524678822195064</v>
      </c>
      <c r="Z48" s="589">
        <f t="shared" si="28"/>
        <v>2.6096700839118022E-2</v>
      </c>
      <c r="AA48" s="473">
        <f t="shared" si="29"/>
        <v>-0.50120058712388449</v>
      </c>
      <c r="AB48" s="478">
        <f t="shared" si="30"/>
        <v>0.26083621157324544</v>
      </c>
      <c r="AC48" s="108">
        <v>1</v>
      </c>
      <c r="AD48" s="159">
        <f t="shared" si="19"/>
        <v>0.18148138205052486</v>
      </c>
      <c r="AE48" s="160">
        <v>193</v>
      </c>
      <c r="AF48" s="160">
        <v>14</v>
      </c>
      <c r="AG48" s="160">
        <v>2.1</v>
      </c>
      <c r="AH48" s="719">
        <f t="shared" si="26"/>
        <v>3.6241724405525702</v>
      </c>
      <c r="AI48" s="86">
        <f t="shared" si="31"/>
        <v>1865.8872394696066</v>
      </c>
      <c r="AJ48" s="86"/>
      <c r="AK48" s="86"/>
      <c r="AL48" s="86"/>
      <c r="AM48" s="86"/>
      <c r="AP48" s="14"/>
      <c r="AQ48" s="14"/>
      <c r="AR48" s="14"/>
      <c r="AS48" s="14"/>
      <c r="AT48" s="653"/>
      <c r="AU48" s="14"/>
      <c r="AV48" s="14"/>
      <c r="AW48" s="594"/>
      <c r="AX48" s="14"/>
      <c r="AY48" s="475"/>
      <c r="AZ48" s="475"/>
      <c r="BA48" s="475"/>
      <c r="BB48" s="475"/>
      <c r="BC48" s="475"/>
      <c r="BD48" s="552" t="s">
        <v>552</v>
      </c>
      <c r="BE48" s="553">
        <v>-4</v>
      </c>
      <c r="BF48" s="554">
        <v>59.76</v>
      </c>
      <c r="BG48" s="554">
        <v>22.26</v>
      </c>
      <c r="BH48" s="121"/>
      <c r="BI48" s="475"/>
      <c r="BJ48" s="475"/>
      <c r="BK48" s="475"/>
      <c r="BL48" s="475"/>
    </row>
    <row r="49" spans="1:68" s="161" customFormat="1" x14ac:dyDescent="0.2">
      <c r="A49" s="389" t="str">
        <f>'r-in'!A30</f>
        <v>203_B</v>
      </c>
      <c r="B49" s="691" t="s">
        <v>916</v>
      </c>
      <c r="C49" s="162">
        <f>'r-in'!P30</f>
        <v>2412.3160319850399</v>
      </c>
      <c r="D49" s="162">
        <f>'r-in'!Q30</f>
        <v>6.977804872516602</v>
      </c>
      <c r="E49" s="81">
        <f>'r-in'!R30</f>
        <v>980207.01722919662</v>
      </c>
      <c r="F49" s="162">
        <f>'r-in'!S30</f>
        <v>0.87305814959119754</v>
      </c>
      <c r="G49" s="81">
        <f>'r-in'!T30</f>
        <v>1817.3797236241601</v>
      </c>
      <c r="H49" s="162">
        <f>'r-in'!U30</f>
        <v>9.2059796799981815</v>
      </c>
      <c r="I49" s="81">
        <f>'r-in'!V30</f>
        <v>2140.2403487156885</v>
      </c>
      <c r="J49" s="162">
        <f>'r-in'!W30</f>
        <v>5.0844582530940965</v>
      </c>
      <c r="K49" s="81">
        <f>'r-in'!X30</f>
        <v>4405577.3882146413</v>
      </c>
      <c r="L49" s="162">
        <f>'r-in'!Y30</f>
        <v>0.89256612594444018</v>
      </c>
      <c r="M49" s="81">
        <f>'r-in'!Z30</f>
        <v>738.50426734555163</v>
      </c>
      <c r="N49" s="162">
        <f>'r-in'!AA30</f>
        <v>28.268564834272407</v>
      </c>
      <c r="O49" s="81">
        <f>'r-in'!AB30</f>
        <v>944342.08569890494</v>
      </c>
      <c r="P49" s="162">
        <f>'r-in'!AC30</f>
        <v>0.90638751952437857</v>
      </c>
      <c r="Q49" s="108">
        <f>'r-in'!AD30</f>
        <v>4332344.0502664819</v>
      </c>
      <c r="R49" s="162">
        <f>'r-in'!AE30</f>
        <v>0.90678615541416208</v>
      </c>
      <c r="S49" s="157">
        <f>'r-in'!AF30</f>
        <v>4.5769543146084342</v>
      </c>
      <c r="T49" s="157">
        <f>'r-in'!AG30</f>
        <v>2.526577661633754E-2</v>
      </c>
      <c r="U49" s="157">
        <f>'r-in'!AH30</f>
        <v>4.5876972155728737</v>
      </c>
      <c r="V49" s="157">
        <f>'r-in'!AI30</f>
        <v>2.5085265846246457E-2</v>
      </c>
      <c r="W49" s="158">
        <v>203</v>
      </c>
      <c r="X49" s="764">
        <f t="shared" si="18"/>
        <v>0.88291201202990677</v>
      </c>
      <c r="Y49" s="589">
        <f t="shared" si="27"/>
        <v>4.050532979185447</v>
      </c>
      <c r="Z49" s="589">
        <f t="shared" si="28"/>
        <v>2.5085265846246457E-2</v>
      </c>
      <c r="AA49" s="473">
        <f t="shared" si="29"/>
        <v>-0.97842417426385886</v>
      </c>
      <c r="AB49" s="478">
        <f t="shared" si="30"/>
        <v>0.25060721815728382</v>
      </c>
      <c r="AC49" s="108">
        <v>1</v>
      </c>
      <c r="AD49" s="159">
        <f t="shared" si="19"/>
        <v>0.18148138205052486</v>
      </c>
      <c r="AE49" s="160">
        <v>193</v>
      </c>
      <c r="AF49" s="160">
        <v>14</v>
      </c>
      <c r="AG49" s="160">
        <v>2.1</v>
      </c>
      <c r="AH49" s="719">
        <f t="shared" si="26"/>
        <v>3.6286302778357626</v>
      </c>
      <c r="AI49" s="86">
        <f t="shared" si="31"/>
        <v>5866.3764609492036</v>
      </c>
      <c r="AJ49" s="86"/>
      <c r="AK49" s="86"/>
      <c r="AL49" s="86"/>
      <c r="AM49" s="86"/>
      <c r="AO49" s="81"/>
      <c r="AP49" s="14"/>
      <c r="AQ49" s="568"/>
      <c r="AR49" s="568"/>
      <c r="AS49" s="576"/>
      <c r="AT49" s="660"/>
      <c r="AU49" s="576"/>
      <c r="AV49" s="736"/>
      <c r="AW49" s="568"/>
      <c r="AX49" s="720"/>
      <c r="AY49" s="475"/>
      <c r="AZ49" s="475"/>
      <c r="BA49" s="475"/>
      <c r="BB49" s="475"/>
      <c r="BC49" s="475"/>
      <c r="BD49" s="552" t="s">
        <v>553</v>
      </c>
      <c r="BE49" s="553">
        <v>-5</v>
      </c>
      <c r="BF49" s="554">
        <v>68.52</v>
      </c>
      <c r="BG49" s="554">
        <v>25.32</v>
      </c>
      <c r="BH49" s="121">
        <v>3</v>
      </c>
      <c r="BI49" s="475"/>
      <c r="BJ49" s="475"/>
      <c r="BL49" s="9"/>
      <c r="BM49" s="10"/>
      <c r="BN49" s="475"/>
      <c r="BO49" s="475"/>
      <c r="BP49" s="10"/>
    </row>
    <row r="50" spans="1:68" s="161" customFormat="1" x14ac:dyDescent="0.2">
      <c r="A50" s="389" t="str">
        <f>'r-in'!A31</f>
        <v>204_B</v>
      </c>
      <c r="B50" s="691" t="s">
        <v>916</v>
      </c>
      <c r="C50" s="162">
        <f>'r-in'!P31</f>
        <v>2113.0103869831801</v>
      </c>
      <c r="D50" s="162">
        <f>'r-in'!Q31</f>
        <v>9.0467677723500959</v>
      </c>
      <c r="E50" s="81">
        <f>'r-in'!R31</f>
        <v>982597.93016792927</v>
      </c>
      <c r="F50" s="162">
        <f>'r-in'!S31</f>
        <v>1.0107001225052699</v>
      </c>
      <c r="G50" s="81">
        <f>'r-in'!T31</f>
        <v>2155.6157772811366</v>
      </c>
      <c r="H50" s="162">
        <f>'r-in'!U31</f>
        <v>7.4212628444218023</v>
      </c>
      <c r="I50" s="81">
        <f>'r-in'!V31</f>
        <v>2132.4946418746176</v>
      </c>
      <c r="J50" s="162">
        <f>'r-in'!W31</f>
        <v>6.2798514870490019</v>
      </c>
      <c r="K50" s="81">
        <f>'r-in'!X31</f>
        <v>4415506.5590911144</v>
      </c>
      <c r="L50" s="162">
        <f>'r-in'!Y31</f>
        <v>1.0352328966852384</v>
      </c>
      <c r="M50" s="81">
        <f>'r-in'!Z31</f>
        <v>2366.32684466419</v>
      </c>
      <c r="N50" s="162">
        <f>'r-in'!AA31</f>
        <v>10.490072585739599</v>
      </c>
      <c r="O50" s="81">
        <f>'r-in'!AB31</f>
        <v>947234.31249948009</v>
      </c>
      <c r="P50" s="162">
        <f>'r-in'!AC31</f>
        <v>1.0537767718252493</v>
      </c>
      <c r="Q50" s="108">
        <f>'r-in'!AD31</f>
        <v>4341489.9417225197</v>
      </c>
      <c r="R50" s="162">
        <f>'r-in'!AE31</f>
        <v>1.051734872428699</v>
      </c>
      <c r="S50" s="157">
        <f>'r-in'!AF31</f>
        <v>4.5722224364247257</v>
      </c>
      <c r="T50" s="157">
        <f>'r-in'!AG31</f>
        <v>1.5970199628743034E-2</v>
      </c>
      <c r="U50" s="157">
        <f>'r-in'!AH31</f>
        <v>4.5834175493755458</v>
      </c>
      <c r="V50" s="157">
        <f>'r-in'!AI31</f>
        <v>2.0299667271427246E-2</v>
      </c>
      <c r="W50" s="158">
        <v>204</v>
      </c>
      <c r="X50" s="764">
        <f t="shared" si="18"/>
        <v>0.882922444194564</v>
      </c>
      <c r="Y50" s="589">
        <f t="shared" si="27"/>
        <v>4.046802225458916</v>
      </c>
      <c r="Z50" s="589">
        <f t="shared" si="28"/>
        <v>2.0299667271427246E-2</v>
      </c>
      <c r="AA50" s="473">
        <f t="shared" si="29"/>
        <v>-1.8985755434909324</v>
      </c>
      <c r="AB50" s="478">
        <f t="shared" si="30"/>
        <v>0.20261126819598463</v>
      </c>
      <c r="AC50" s="108">
        <v>1</v>
      </c>
      <c r="AD50" s="159">
        <f t="shared" si="19"/>
        <v>0.18148138205052486</v>
      </c>
      <c r="AE50" s="160">
        <v>193</v>
      </c>
      <c r="AF50" s="160">
        <v>14</v>
      </c>
      <c r="AG50" s="160">
        <v>2.1</v>
      </c>
      <c r="AH50" s="719">
        <f t="shared" si="26"/>
        <v>3.6383036873228116</v>
      </c>
      <c r="AI50" s="86">
        <f t="shared" si="31"/>
        <v>1834.6958077714869</v>
      </c>
      <c r="AJ50" s="86"/>
      <c r="AK50" s="86"/>
      <c r="AL50" s="86"/>
      <c r="AM50" s="86"/>
      <c r="AP50" s="14"/>
      <c r="AQ50" s="14"/>
      <c r="AR50" s="14"/>
      <c r="AS50" s="14"/>
      <c r="AT50" s="653"/>
      <c r="AU50" s="14"/>
      <c r="AV50" s="14"/>
      <c r="AW50" s="594"/>
      <c r="AX50" s="14"/>
      <c r="AY50" s="475"/>
      <c r="AZ50" s="475"/>
      <c r="BA50" s="475"/>
      <c r="BB50" s="475"/>
      <c r="BC50" s="475"/>
      <c r="BD50" s="552" t="s">
        <v>554</v>
      </c>
      <c r="BE50" s="553">
        <v>-6</v>
      </c>
      <c r="BF50" s="554">
        <v>77.28</v>
      </c>
      <c r="BG50" s="554">
        <v>28.38</v>
      </c>
      <c r="BH50" s="121"/>
      <c r="BI50" s="475"/>
      <c r="BJ50" s="475"/>
      <c r="BK50" s="475"/>
      <c r="BL50" s="475"/>
    </row>
    <row r="51" spans="1:68" s="161" customFormat="1" x14ac:dyDescent="0.2">
      <c r="A51" s="389" t="str">
        <f>'r-in'!A32</f>
        <v>253_B</v>
      </c>
      <c r="B51" s="691" t="s">
        <v>916</v>
      </c>
      <c r="C51" s="162">
        <f>'r-in'!P32</f>
        <v>2354.2752120431169</v>
      </c>
      <c r="D51" s="162">
        <f>'r-in'!Q32</f>
        <v>7.1734882230427548</v>
      </c>
      <c r="E51" s="81">
        <f>'r-in'!R32</f>
        <v>1012548.0523285459</v>
      </c>
      <c r="F51" s="162">
        <f>'r-in'!S32</f>
        <v>1.0526691324274231</v>
      </c>
      <c r="G51" s="81">
        <f>'r-in'!T32</f>
        <v>2059.2137389969052</v>
      </c>
      <c r="H51" s="162">
        <f>'r-in'!U32</f>
        <v>7.5377761825016814</v>
      </c>
      <c r="I51" s="81">
        <f>'r-in'!V32</f>
        <v>2219.3379914409861</v>
      </c>
      <c r="J51" s="162">
        <f>'r-in'!W32</f>
        <v>5.3457105303182315</v>
      </c>
      <c r="K51" s="81">
        <f>'r-in'!X32</f>
        <v>4553744.6427524863</v>
      </c>
      <c r="L51" s="162">
        <f>'r-in'!Y32</f>
        <v>1.0854593114866118</v>
      </c>
      <c r="M51" s="81">
        <f>'r-in'!Z32</f>
        <v>1263.4109008969606</v>
      </c>
      <c r="N51" s="162">
        <f>'r-in'!AA32</f>
        <v>16.13992466057741</v>
      </c>
      <c r="O51" s="81">
        <f>'r-in'!AB32</f>
        <v>976181.27610151726</v>
      </c>
      <c r="P51" s="162">
        <f>'r-in'!AC32</f>
        <v>1.0908695708453038</v>
      </c>
      <c r="Q51" s="108">
        <f>'r-in'!AD32</f>
        <v>4478094.2140958896</v>
      </c>
      <c r="R51" s="162">
        <f>'r-in'!AE32</f>
        <v>1.104029248127691</v>
      </c>
      <c r="S51" s="157">
        <f>'r-in'!AF32</f>
        <v>4.5751780005386768</v>
      </c>
      <c r="T51" s="157">
        <f>'r-in'!AG32</f>
        <v>2.3086166085705333E-2</v>
      </c>
      <c r="U51" s="157">
        <f>'r-in'!AH32</f>
        <v>4.5868885040035909</v>
      </c>
      <c r="V51" s="157">
        <f>'r-in'!AI32</f>
        <v>2.6617418006570748E-2</v>
      </c>
      <c r="W51" s="158">
        <v>253</v>
      </c>
      <c r="X51" s="764">
        <f t="shared" si="18"/>
        <v>0.88335332883291784</v>
      </c>
      <c r="Y51" s="589">
        <f t="shared" si="27"/>
        <v>4.051843228997015</v>
      </c>
      <c r="Z51" s="589">
        <f t="shared" si="28"/>
        <v>2.6617418006570748E-2</v>
      </c>
      <c r="AA51" s="473">
        <f t="shared" si="29"/>
        <v>-0.65526476827848512</v>
      </c>
      <c r="AB51" s="478">
        <f t="shared" si="30"/>
        <v>0.26599976550334414</v>
      </c>
      <c r="AC51" s="108">
        <v>1</v>
      </c>
      <c r="AD51" s="159">
        <f t="shared" si="19"/>
        <v>0.18148138205052486</v>
      </c>
      <c r="AE51" s="160">
        <v>193</v>
      </c>
      <c r="AF51" s="160">
        <v>14</v>
      </c>
      <c r="AG51" s="160">
        <v>2.1</v>
      </c>
      <c r="AH51" s="719">
        <f t="shared" si="26"/>
        <v>3.8941253840645804</v>
      </c>
      <c r="AI51" s="86">
        <f t="shared" si="31"/>
        <v>3544.4479788140657</v>
      </c>
      <c r="AJ51" s="86"/>
      <c r="AK51" s="86"/>
      <c r="AL51" s="86"/>
      <c r="AM51" s="86"/>
      <c r="AO51" s="81"/>
      <c r="AP51" s="14"/>
      <c r="AQ51" s="568"/>
      <c r="AR51" s="568"/>
      <c r="AS51" s="576"/>
      <c r="AT51" s="660"/>
      <c r="AU51" s="576"/>
      <c r="AV51" s="736"/>
      <c r="AW51" s="568"/>
      <c r="AX51" s="720"/>
      <c r="AY51" s="475"/>
      <c r="AZ51" s="475"/>
      <c r="BA51" s="475"/>
      <c r="BB51" s="475"/>
      <c r="BC51" s="475"/>
      <c r="BD51" s="552" t="s">
        <v>555</v>
      </c>
      <c r="BE51" s="553">
        <v>-7</v>
      </c>
      <c r="BF51" s="554">
        <v>86.04</v>
      </c>
      <c r="BG51" s="554">
        <v>31.44</v>
      </c>
      <c r="BH51" s="121">
        <v>3</v>
      </c>
      <c r="BI51" s="475"/>
      <c r="BJ51" s="475"/>
      <c r="BL51" s="9"/>
      <c r="BM51" s="10"/>
      <c r="BN51" s="475"/>
      <c r="BO51" s="475"/>
      <c r="BP51" s="10"/>
    </row>
    <row r="52" spans="1:68" s="161" customFormat="1" x14ac:dyDescent="0.2">
      <c r="A52" s="389" t="str">
        <f>'r-in'!A33</f>
        <v>254_B</v>
      </c>
      <c r="B52" s="691" t="s">
        <v>916</v>
      </c>
      <c r="C52" s="162">
        <f>'r-in'!P33</f>
        <v>1945.5531203880466</v>
      </c>
      <c r="D52" s="162">
        <f>'r-in'!Q33</f>
        <v>8.3175036138138196</v>
      </c>
      <c r="E52" s="81">
        <f>'r-in'!R33</f>
        <v>962086.97835456615</v>
      </c>
      <c r="F52" s="162">
        <f>'r-in'!S33</f>
        <v>0.55466923112023325</v>
      </c>
      <c r="G52" s="81">
        <f>'r-in'!T33</f>
        <v>2445.241357083195</v>
      </c>
      <c r="H52" s="162">
        <f>'r-in'!U33</f>
        <v>7.103799829121737</v>
      </c>
      <c r="I52" s="81">
        <f>'r-in'!V33</f>
        <v>2174.0700498641718</v>
      </c>
      <c r="J52" s="162">
        <f>'r-in'!W33</f>
        <v>4.897117366372461</v>
      </c>
      <c r="K52" s="81">
        <f>'r-in'!X33</f>
        <v>4322343.5716897193</v>
      </c>
      <c r="L52" s="162">
        <f>'r-in'!Y33</f>
        <v>0.5731361577247378</v>
      </c>
      <c r="M52" s="81">
        <f>'r-in'!Z33</f>
        <v>1920.5060138635847</v>
      </c>
      <c r="N52" s="162">
        <f>'r-in'!AA33</f>
        <v>13.119412693208481</v>
      </c>
      <c r="O52" s="81">
        <f>'r-in'!AB33</f>
        <v>926301.1930778611</v>
      </c>
      <c r="P52" s="162">
        <f>'r-in'!AC33</f>
        <v>0.57784691163149482</v>
      </c>
      <c r="Q52" s="108">
        <f>'r-in'!AD33</f>
        <v>4247303.3526951512</v>
      </c>
      <c r="R52" s="162">
        <f>'r-in'!AE33</f>
        <v>0.58232808132762859</v>
      </c>
      <c r="S52" s="157">
        <f>'r-in'!AF33</f>
        <v>4.5739542815099501</v>
      </c>
      <c r="T52" s="157">
        <f>'r-in'!AG33</f>
        <v>2.318016053038903E-2</v>
      </c>
      <c r="U52" s="157">
        <f>'r-in'!AH33</f>
        <v>4.5851530466282595</v>
      </c>
      <c r="V52" s="157">
        <f>'r-in'!AI33</f>
        <v>2.2413994629522781E-2</v>
      </c>
      <c r="W52" s="158">
        <v>254</v>
      </c>
      <c r="X52" s="764">
        <f t="shared" si="18"/>
        <v>0.88336324531765142</v>
      </c>
      <c r="Y52" s="589">
        <f t="shared" si="27"/>
        <v>4.0503556755476557</v>
      </c>
      <c r="Z52" s="589">
        <f t="shared" si="28"/>
        <v>2.2413994629522781E-2</v>
      </c>
      <c r="AA52" s="473">
        <f t="shared" si="29"/>
        <v>-1.0221542612761647</v>
      </c>
      <c r="AB52" s="478">
        <f t="shared" si="30"/>
        <v>0.22391084069406375</v>
      </c>
      <c r="AC52" s="108">
        <v>1</v>
      </c>
      <c r="AD52" s="159">
        <f t="shared" si="19"/>
        <v>0.18148138205052486</v>
      </c>
      <c r="AE52" s="160">
        <v>193</v>
      </c>
      <c r="AF52" s="160">
        <v>14</v>
      </c>
      <c r="AG52" s="160">
        <v>2.1</v>
      </c>
      <c r="AH52" s="719">
        <f t="shared" si="26"/>
        <v>3.6972891380852402</v>
      </c>
      <c r="AI52" s="86">
        <f t="shared" si="31"/>
        <v>2211.5543101844414</v>
      </c>
      <c r="AJ52" s="86"/>
      <c r="AK52" s="86"/>
      <c r="AL52" s="86"/>
      <c r="AM52" s="86"/>
      <c r="AP52" s="14"/>
      <c r="AQ52" s="14"/>
      <c r="AR52" s="14"/>
      <c r="AS52" s="14"/>
      <c r="AT52" s="653"/>
      <c r="AU52" s="14"/>
      <c r="AV52" s="14"/>
      <c r="AW52" s="594"/>
      <c r="AX52" s="14"/>
      <c r="AY52" s="475"/>
      <c r="AZ52" s="475"/>
      <c r="BA52" s="475"/>
      <c r="BB52" s="475"/>
      <c r="BC52" s="475"/>
      <c r="BD52" s="552" t="s">
        <v>556</v>
      </c>
      <c r="BE52" s="553">
        <v>-8</v>
      </c>
      <c r="BF52" s="554">
        <v>94.8</v>
      </c>
      <c r="BG52" s="554">
        <v>34.5</v>
      </c>
      <c r="BH52" s="121"/>
      <c r="BI52" s="475"/>
      <c r="BJ52" s="475"/>
      <c r="BK52" s="475"/>
      <c r="BL52" s="475"/>
    </row>
    <row r="53" spans="1:68" s="161" customFormat="1" x14ac:dyDescent="0.2">
      <c r="A53" s="389" t="str">
        <f>'r-in'!A34</f>
        <v>303_B</v>
      </c>
      <c r="B53" s="691" t="s">
        <v>916</v>
      </c>
      <c r="C53" s="162">
        <f>'r-in'!P34</f>
        <v>1933.9608443477421</v>
      </c>
      <c r="D53" s="162">
        <f>'r-in'!Q34</f>
        <v>9.2809324210998536</v>
      </c>
      <c r="E53" s="81">
        <f>'r-in'!R34</f>
        <v>872791.63724778278</v>
      </c>
      <c r="F53" s="162">
        <f>'r-in'!S34</f>
        <v>0.79944755060383099</v>
      </c>
      <c r="G53" s="81">
        <f>'r-in'!T34</f>
        <v>1874.1349551585233</v>
      </c>
      <c r="H53" s="162">
        <f>'r-in'!U34</f>
        <v>8.5563923023575565</v>
      </c>
      <c r="I53" s="81">
        <f>'r-in'!V34</f>
        <v>1906.601327959848</v>
      </c>
      <c r="J53" s="162">
        <f>'r-in'!W34</f>
        <v>6.6759385716284276</v>
      </c>
      <c r="K53" s="81">
        <f>'r-in'!X34</f>
        <v>3913670.5581306908</v>
      </c>
      <c r="L53" s="162">
        <f>'r-in'!Y34</f>
        <v>0.82228282490163385</v>
      </c>
      <c r="M53" s="81">
        <f>'r-in'!Z34</f>
        <v>869.04910850550982</v>
      </c>
      <c r="N53" s="162">
        <f>'r-in'!AA34</f>
        <v>23.590310064211351</v>
      </c>
      <c r="O53" s="81">
        <f>'r-in'!AB34</f>
        <v>839945.08309680258</v>
      </c>
      <c r="P53" s="162">
        <f>'r-in'!AC34</f>
        <v>0.83114353785250017</v>
      </c>
      <c r="Q53" s="108">
        <f>'r-in'!AD34</f>
        <v>3847428.2781095584</v>
      </c>
      <c r="R53" s="162">
        <f>'r-in'!AE34</f>
        <v>0.83642217342704972</v>
      </c>
      <c r="S53" s="157">
        <f>'r-in'!AF34</f>
        <v>4.5699313841133069</v>
      </c>
      <c r="T53" s="157">
        <f>'r-in'!AG34</f>
        <v>1.9903153192600456E-2</v>
      </c>
      <c r="U53" s="157">
        <f>'r-in'!AH34</f>
        <v>4.5804570037251793</v>
      </c>
      <c r="V53" s="157">
        <f>'r-in'!AI34</f>
        <v>2.2317133958156158E-2</v>
      </c>
      <c r="W53" s="158">
        <v>303</v>
      </c>
      <c r="X53" s="764">
        <f t="shared" si="18"/>
        <v>0.88428701631516649</v>
      </c>
      <c r="Y53" s="589">
        <f t="shared" si="27"/>
        <v>4.0504386571840465</v>
      </c>
      <c r="Z53" s="589">
        <f t="shared" si="28"/>
        <v>2.2317133958156158E-2</v>
      </c>
      <c r="AA53" s="473">
        <f t="shared" si="29"/>
        <v>-1.0016877089539244</v>
      </c>
      <c r="AB53" s="478">
        <f t="shared" si="30"/>
        <v>0.22294779159370837</v>
      </c>
      <c r="AC53" s="108">
        <v>1</v>
      </c>
      <c r="AD53" s="159">
        <f t="shared" si="19"/>
        <v>0.18148138205052486</v>
      </c>
      <c r="AE53" s="160">
        <v>193</v>
      </c>
      <c r="AF53" s="160">
        <v>14</v>
      </c>
      <c r="AG53" s="160">
        <v>2.1</v>
      </c>
      <c r="AH53" s="719">
        <f t="shared" si="26"/>
        <v>3.6104183362455315</v>
      </c>
      <c r="AI53" s="86">
        <f t="shared" si="31"/>
        <v>4427.1701569614643</v>
      </c>
      <c r="AJ53" s="86"/>
      <c r="AK53" s="86"/>
      <c r="AL53" s="86"/>
      <c r="AM53" s="86"/>
      <c r="AO53" s="81"/>
      <c r="AP53" s="14"/>
      <c r="AQ53" s="568"/>
      <c r="AR53" s="568"/>
      <c r="AS53" s="576"/>
      <c r="AT53" s="660"/>
      <c r="AU53" s="576"/>
      <c r="AV53" s="736"/>
      <c r="AW53" s="568"/>
      <c r="AX53" s="720"/>
      <c r="AY53" s="475"/>
      <c r="AZ53" s="475"/>
      <c r="BA53" s="475"/>
      <c r="BB53" s="475"/>
      <c r="BC53" s="475"/>
      <c r="BD53" s="552" t="s">
        <v>557</v>
      </c>
      <c r="BE53" s="553">
        <v>-9</v>
      </c>
      <c r="BF53" s="554">
        <v>103.56</v>
      </c>
      <c r="BG53" s="554">
        <v>37.56</v>
      </c>
      <c r="BH53" s="121">
        <v>3</v>
      </c>
      <c r="BI53" s="475"/>
      <c r="BJ53" s="475"/>
      <c r="BL53" s="9"/>
      <c r="BM53" s="10"/>
      <c r="BN53" s="475"/>
      <c r="BO53" s="475"/>
      <c r="BP53" s="10"/>
    </row>
    <row r="54" spans="1:68" s="161" customFormat="1" x14ac:dyDescent="0.2">
      <c r="A54" s="389" t="str">
        <f>'r-in'!A35</f>
        <v>304_B</v>
      </c>
      <c r="B54" s="691" t="s">
        <v>916</v>
      </c>
      <c r="C54" s="162">
        <f>'r-in'!P35</f>
        <v>2000.009759784803</v>
      </c>
      <c r="D54" s="162">
        <f>'r-in'!Q35</f>
        <v>8.3751776574061516</v>
      </c>
      <c r="E54" s="81">
        <f>'r-in'!R35</f>
        <v>868292.70560925547</v>
      </c>
      <c r="F54" s="162">
        <f>'r-in'!S35</f>
        <v>0.60147137374381043</v>
      </c>
      <c r="G54" s="81">
        <f>'r-in'!T35</f>
        <v>1971.0670649245226</v>
      </c>
      <c r="H54" s="162">
        <f>'r-in'!U35</f>
        <v>9.0636422336845897</v>
      </c>
      <c r="I54" s="81">
        <f>'r-in'!V35</f>
        <v>1986.77371523835</v>
      </c>
      <c r="J54" s="162">
        <f>'r-in'!W35</f>
        <v>5.4279716009042893</v>
      </c>
      <c r="K54" s="81">
        <f>'r-in'!X35</f>
        <v>3892843.0166127291</v>
      </c>
      <c r="L54" s="162">
        <f>'r-in'!Y35</f>
        <v>0.62352139606042545</v>
      </c>
      <c r="M54" s="81">
        <f>'r-in'!Z35</f>
        <v>1329.6638044333349</v>
      </c>
      <c r="N54" s="162">
        <f>'r-in'!AA35</f>
        <v>18.611909278891563</v>
      </c>
      <c r="O54" s="81">
        <f>'r-in'!AB35</f>
        <v>835257.0706063176</v>
      </c>
      <c r="P54" s="162">
        <f>'r-in'!AC35</f>
        <v>0.62690846484085672</v>
      </c>
      <c r="Q54" s="108">
        <f>'r-in'!AD35</f>
        <v>3824892.3944750861</v>
      </c>
      <c r="R54" s="162">
        <f>'r-in'!AE35</f>
        <v>0.63408706390045755</v>
      </c>
      <c r="S54" s="157">
        <f>'r-in'!AF35</f>
        <v>4.5681222562627299</v>
      </c>
      <c r="T54" s="157">
        <f>'r-in'!AG35</f>
        <v>2.3168214392473754E-2</v>
      </c>
      <c r="U54" s="157">
        <f>'r-in'!AH35</f>
        <v>4.5791626027489771</v>
      </c>
      <c r="V54" s="157">
        <f>'r-in'!AI35</f>
        <v>2.4134428919739093E-2</v>
      </c>
      <c r="W54" s="158">
        <v>304</v>
      </c>
      <c r="X54" s="764">
        <f t="shared" si="18"/>
        <v>0.8843201063345828</v>
      </c>
      <c r="Y54" s="589">
        <f t="shared" si="27"/>
        <v>4.0494455597863208</v>
      </c>
      <c r="Z54" s="589">
        <f t="shared" si="28"/>
        <v>2.4134428919739093E-2</v>
      </c>
      <c r="AA54" s="473">
        <f t="shared" si="29"/>
        <v>-1.2466247906471883</v>
      </c>
      <c r="AB54" s="478">
        <f t="shared" si="30"/>
        <v>0.24104342342334828</v>
      </c>
      <c r="AC54" s="108">
        <v>1</v>
      </c>
      <c r="AD54" s="159">
        <f t="shared" si="19"/>
        <v>0.18148138205052486</v>
      </c>
      <c r="AE54" s="160">
        <v>193</v>
      </c>
      <c r="AF54" s="160">
        <v>14</v>
      </c>
      <c r="AG54" s="160">
        <v>2.1</v>
      </c>
      <c r="AH54" s="719">
        <f t="shared" si="26"/>
        <v>3.5969843765508607</v>
      </c>
      <c r="AI54" s="86">
        <f t="shared" si="31"/>
        <v>2876.5860826791077</v>
      </c>
      <c r="AJ54" s="86"/>
      <c r="AK54" s="86"/>
      <c r="AL54" s="86"/>
      <c r="AM54" s="86"/>
      <c r="AP54" s="14"/>
      <c r="AQ54" s="14"/>
      <c r="AR54" s="14"/>
      <c r="AS54" s="14"/>
      <c r="AT54" s="653"/>
      <c r="AU54" s="14"/>
      <c r="AV54" s="14"/>
      <c r="AW54" s="594"/>
      <c r="AX54" s="14"/>
      <c r="AY54" s="475"/>
      <c r="AZ54" s="475"/>
      <c r="BA54" s="475"/>
      <c r="BB54" s="475"/>
      <c r="BC54" s="475"/>
      <c r="BD54" s="552" t="s">
        <v>558</v>
      </c>
      <c r="BE54" s="553">
        <v>-10</v>
      </c>
      <c r="BF54" s="554">
        <v>112.32</v>
      </c>
      <c r="BG54" s="554">
        <v>40.619999999999997</v>
      </c>
      <c r="BH54" s="121"/>
      <c r="BI54" s="475"/>
      <c r="BJ54" s="475"/>
      <c r="BK54" s="475"/>
      <c r="BL54" s="475"/>
    </row>
    <row r="55" spans="1:68" s="161" customFormat="1" x14ac:dyDescent="0.2">
      <c r="A55" s="389"/>
      <c r="B55" s="153"/>
      <c r="C55" s="162"/>
      <c r="D55" s="162"/>
      <c r="E55" s="81"/>
      <c r="F55" s="162"/>
      <c r="G55" s="81"/>
      <c r="H55" s="162"/>
      <c r="I55" s="81"/>
      <c r="J55" s="162"/>
      <c r="K55" s="81"/>
      <c r="L55" s="162"/>
      <c r="M55" s="81"/>
      <c r="N55" s="162"/>
      <c r="O55" s="81"/>
      <c r="P55" s="162"/>
      <c r="Q55" s="108"/>
      <c r="R55" s="162"/>
      <c r="S55" s="157"/>
      <c r="T55" s="157"/>
      <c r="U55" s="157"/>
      <c r="V55" s="157"/>
      <c r="W55" s="158"/>
      <c r="X55" s="764"/>
      <c r="Y55" s="589"/>
      <c r="Z55" s="589"/>
      <c r="AA55" s="473"/>
      <c r="AB55" s="478"/>
      <c r="AC55" s="108"/>
      <c r="AD55" s="159"/>
      <c r="AE55" s="160"/>
      <c r="AF55" s="160"/>
      <c r="AG55" s="160"/>
      <c r="AH55" s="303"/>
      <c r="AT55" s="655"/>
      <c r="AU55" s="14"/>
      <c r="AV55" s="475"/>
      <c r="AW55" s="605"/>
      <c r="AX55" s="475"/>
      <c r="AY55" s="475"/>
      <c r="AZ55" s="475"/>
      <c r="BA55" s="475"/>
      <c r="BB55" s="475"/>
      <c r="BC55" s="475"/>
      <c r="BD55" s="552"/>
      <c r="BE55" s="553"/>
      <c r="BF55" s="554"/>
      <c r="BG55" s="554"/>
      <c r="BH55" s="121"/>
      <c r="BI55" s="475"/>
      <c r="BJ55" s="475"/>
      <c r="BK55" s="475"/>
      <c r="BL55" s="475"/>
    </row>
    <row r="56" spans="1:68" s="161" customFormat="1" ht="14" x14ac:dyDescent="0.15">
      <c r="A56" s="389"/>
      <c r="B56" s="153"/>
      <c r="C56" s="162">
        <f>AVERAGE(C41:C44)</f>
        <v>2859.2965067116952</v>
      </c>
      <c r="D56" s="81"/>
      <c r="E56" s="81"/>
      <c r="F56" s="81"/>
      <c r="G56" s="81">
        <f>AVERAGE(G41:G44)</f>
        <v>2502.5106841168745</v>
      </c>
      <c r="I56" s="81">
        <f>AVERAGE(I41:I44)</f>
        <v>2696.1315677104926</v>
      </c>
      <c r="K56" s="587"/>
      <c r="M56" s="587"/>
      <c r="O56" s="587"/>
      <c r="Q56" s="587"/>
      <c r="S56" s="445">
        <f>AGaverage(S41:S55)</f>
        <v>4.5803017135143218</v>
      </c>
      <c r="U56" s="445">
        <f>AGaverage(U41:U55)</f>
        <v>4.5913019629245042</v>
      </c>
      <c r="Y56" s="445">
        <f>AGaverage(Y41:Y54)</f>
        <v>4.0501499999186121</v>
      </c>
      <c r="Z56" s="456">
        <f>ExcsScatter(Y41:Z54)</f>
        <v>3.6832045706003465E-2</v>
      </c>
      <c r="AA56" s="455">
        <f>AGaverage(AA41:AA54)</f>
        <v>-1.0728820030553297</v>
      </c>
      <c r="AB56" s="455"/>
      <c r="AC56" s="81"/>
      <c r="AD56" s="81"/>
      <c r="AE56" s="81"/>
      <c r="AF56" s="81"/>
      <c r="AG56" s="81"/>
      <c r="AQ56" s="565"/>
      <c r="AR56" s="565"/>
      <c r="AT56" s="655"/>
      <c r="AU56" s="575"/>
      <c r="AV56" s="8"/>
      <c r="AW56" s="604"/>
      <c r="AX56" s="8"/>
      <c r="AY56" s="8"/>
      <c r="AZ56" s="8"/>
      <c r="BA56" s="8"/>
      <c r="BB56" s="8"/>
      <c r="BC56" s="8"/>
      <c r="BD56" s="8"/>
      <c r="BE56" s="8"/>
      <c r="BF56" s="8"/>
      <c r="BG56" s="8"/>
      <c r="BH56" s="8"/>
      <c r="BI56" s="8"/>
      <c r="BJ56" s="8"/>
      <c r="BK56" s="8"/>
      <c r="BL56" s="8"/>
    </row>
    <row r="57" spans="1:68" s="161" customFormat="1" ht="13" x14ac:dyDescent="0.15">
      <c r="A57" s="389"/>
      <c r="B57" s="153"/>
      <c r="C57" s="81"/>
      <c r="D57" s="81"/>
      <c r="E57" s="81"/>
      <c r="F57" s="81"/>
      <c r="G57" s="81"/>
      <c r="I57" s="587"/>
      <c r="K57" s="587"/>
      <c r="M57" s="587"/>
      <c r="O57" s="587"/>
      <c r="Q57" s="587"/>
      <c r="S57" s="12">
        <f>AGstdv(S41:S55, TRUE)</f>
        <v>0.16757288077177857</v>
      </c>
      <c r="U57" s="12">
        <f>AGstdv(U41:U55, TRUE)</f>
        <v>0.16592163850267466</v>
      </c>
      <c r="Y57" s="12">
        <f>AGstdv(Y41:Y54, TRUE)</f>
        <v>3.9854449014199149E-2</v>
      </c>
      <c r="Z57" s="81"/>
      <c r="AA57" s="471">
        <f>STDEV(AA41:AA54)/(COUNT(AA41:AA54)-1)^0.5</f>
        <v>0.11041776097887065</v>
      </c>
      <c r="AB57" s="471"/>
      <c r="AC57" s="81"/>
      <c r="AD57" s="81"/>
      <c r="AE57" s="81"/>
      <c r="AF57" s="81"/>
      <c r="AG57" s="81"/>
      <c r="AT57" s="655"/>
      <c r="AU57" s="14"/>
      <c r="AV57" s="475"/>
      <c r="AW57" s="605"/>
      <c r="AX57" s="475"/>
      <c r="AY57" s="475"/>
      <c r="AZ57" s="475"/>
      <c r="BA57" s="475"/>
      <c r="BB57" s="475"/>
      <c r="BC57" s="475"/>
      <c r="BD57" s="475"/>
      <c r="BE57" s="475"/>
      <c r="BF57" s="475"/>
      <c r="BG57" s="475"/>
      <c r="BH57" s="475"/>
      <c r="BI57" s="475"/>
      <c r="BJ57" s="475"/>
      <c r="BK57" s="475"/>
      <c r="BL57" s="475"/>
    </row>
    <row r="58" spans="1:68" s="161" customFormat="1" ht="13" x14ac:dyDescent="0.15">
      <c r="A58" s="389"/>
      <c r="B58" s="153"/>
      <c r="C58" s="81"/>
      <c r="D58" s="81"/>
      <c r="E58" s="81"/>
      <c r="F58" s="81"/>
      <c r="G58" s="81"/>
      <c r="I58" s="587"/>
      <c r="K58" s="587"/>
      <c r="M58" s="587"/>
      <c r="O58" s="587"/>
      <c r="Q58" s="587"/>
      <c r="Y58" s="156"/>
      <c r="AT58" s="655"/>
      <c r="AU58" s="575"/>
      <c r="AV58" s="475"/>
      <c r="AW58" s="605"/>
      <c r="AX58" s="475"/>
      <c r="AY58" s="475"/>
      <c r="AZ58" s="475"/>
      <c r="BA58" s="475"/>
      <c r="BB58" s="475"/>
      <c r="BC58" s="475"/>
      <c r="BD58" s="475"/>
      <c r="BE58" s="475"/>
      <c r="BF58" s="475"/>
      <c r="BG58" s="475"/>
      <c r="BH58" s="475"/>
      <c r="BI58" s="475"/>
      <c r="BJ58" s="475"/>
      <c r="BK58" s="475"/>
      <c r="BL58" s="475"/>
    </row>
    <row r="59" spans="1:68" s="161" customFormat="1" ht="13" x14ac:dyDescent="0.15">
      <c r="A59" s="389"/>
      <c r="B59" s="153"/>
      <c r="E59" s="587"/>
      <c r="G59" s="587"/>
      <c r="I59" s="587"/>
      <c r="K59" s="587"/>
      <c r="M59" s="587"/>
      <c r="O59" s="587"/>
      <c r="Q59" s="587"/>
      <c r="AT59" s="655"/>
      <c r="AU59" s="14"/>
      <c r="AV59" s="475"/>
      <c r="AW59" s="605"/>
      <c r="AX59" s="475"/>
      <c r="AY59" s="475"/>
      <c r="AZ59" s="475"/>
      <c r="BA59" s="475"/>
      <c r="BB59" s="475"/>
      <c r="BC59" s="475"/>
      <c r="BD59" s="475"/>
      <c r="BE59" s="475"/>
      <c r="BF59" s="475"/>
      <c r="BG59" s="475"/>
      <c r="BH59" s="475"/>
      <c r="BI59" s="475"/>
      <c r="BJ59" s="475"/>
      <c r="BK59" s="475"/>
      <c r="BL59" s="475"/>
    </row>
    <row r="60" spans="1:68" s="161" customFormat="1" ht="13" x14ac:dyDescent="0.15">
      <c r="A60" s="18"/>
      <c r="B60" s="153"/>
      <c r="C60" s="162"/>
      <c r="D60" s="162"/>
      <c r="E60" s="81"/>
      <c r="F60" s="162"/>
      <c r="G60" s="81"/>
      <c r="H60" s="162"/>
      <c r="I60" s="81"/>
      <c r="J60" s="162"/>
      <c r="K60" s="81"/>
      <c r="L60" s="162"/>
      <c r="M60" s="81"/>
      <c r="N60" s="162"/>
      <c r="O60" s="81"/>
      <c r="P60" s="162"/>
      <c r="Q60" s="81"/>
      <c r="R60" s="162"/>
      <c r="S60" s="157"/>
      <c r="T60" s="157"/>
      <c r="U60" s="157"/>
      <c r="V60" s="157"/>
      <c r="W60" s="155"/>
      <c r="X60" s="205">
        <f>X39</f>
        <v>0</v>
      </c>
      <c r="Y60" s="155"/>
      <c r="Z60" s="155"/>
      <c r="AA60" s="155"/>
      <c r="AB60" s="155"/>
      <c r="AT60" s="655"/>
      <c r="AU60" s="575"/>
      <c r="AV60" s="475"/>
      <c r="AW60" s="605"/>
      <c r="AX60" s="475"/>
      <c r="AY60" s="475"/>
      <c r="AZ60" s="475"/>
      <c r="BA60" s="475"/>
      <c r="BB60" s="475"/>
      <c r="BC60" s="475"/>
      <c r="BD60" s="475"/>
      <c r="BE60" s="475"/>
      <c r="BF60" s="475"/>
      <c r="BG60" s="475"/>
      <c r="BH60" s="475"/>
      <c r="BI60" s="475"/>
      <c r="BJ60" s="475"/>
      <c r="BK60" s="14"/>
      <c r="BL60" s="14"/>
    </row>
    <row r="61" spans="1:68" s="255" customFormat="1" ht="14.25" customHeight="1" x14ac:dyDescent="0.15">
      <c r="A61" s="16" t="s">
        <v>423</v>
      </c>
      <c r="B61" s="254"/>
      <c r="C61" s="474"/>
      <c r="D61" s="474"/>
      <c r="E61" s="203"/>
      <c r="F61" s="474"/>
      <c r="G61" s="203"/>
      <c r="H61" s="474"/>
      <c r="I61" s="203"/>
      <c r="J61" s="474"/>
      <c r="K61" s="203"/>
      <c r="L61" s="474"/>
      <c r="M61" s="203"/>
      <c r="N61" s="474"/>
      <c r="O61" s="203"/>
      <c r="P61" s="474"/>
      <c r="Q61" s="203"/>
      <c r="R61" s="474"/>
      <c r="S61" s="584"/>
      <c r="T61" s="584"/>
      <c r="U61" s="584"/>
      <c r="V61" s="584"/>
      <c r="W61" s="315"/>
      <c r="X61" s="763">
        <v>1</v>
      </c>
      <c r="Y61" s="682" t="s">
        <v>604</v>
      </c>
      <c r="Z61" s="315"/>
      <c r="AA61" s="315"/>
      <c r="AB61" s="315"/>
      <c r="AD61" s="256"/>
      <c r="AE61" s="255" t="s">
        <v>581</v>
      </c>
      <c r="AF61" s="255" t="s">
        <v>563</v>
      </c>
      <c r="AJ61" s="699"/>
      <c r="AK61" s="699"/>
      <c r="AL61" s="699"/>
      <c r="AM61" s="699"/>
      <c r="AT61" s="656"/>
      <c r="AW61" s="606"/>
    </row>
    <row r="62" spans="1:68" x14ac:dyDescent="0.2">
      <c r="A62" s="781" t="str">
        <f>'r-in'!A38</f>
        <v>005_C</v>
      </c>
      <c r="B62" s="691" t="s">
        <v>917</v>
      </c>
      <c r="C62" s="162">
        <f>'r-in'!P38</f>
        <v>6886.8399414304231</v>
      </c>
      <c r="D62" s="162">
        <f>'r-in'!Q38</f>
        <v>2.0640036584521235</v>
      </c>
      <c r="E62" s="81">
        <f>'r-in'!R38</f>
        <v>1343928.8704515912</v>
      </c>
      <c r="F62" s="162">
        <f>'r-in'!S38</f>
        <v>0.65156367214665545</v>
      </c>
      <c r="G62" s="81">
        <f>'r-in'!T38</f>
        <v>5670.1809255001936</v>
      </c>
      <c r="H62" s="162">
        <f>'r-in'!U38</f>
        <v>2.9380899212304077</v>
      </c>
      <c r="I62" s="81">
        <f>'r-in'!V38</f>
        <v>6330.4386453369943</v>
      </c>
      <c r="J62" s="162">
        <f>'r-in'!W38</f>
        <v>1.747940181027078</v>
      </c>
      <c r="K62" s="81">
        <f>'r-in'!X38</f>
        <v>6029527.3459334169</v>
      </c>
      <c r="L62" s="162">
        <f>'r-in'!Y38</f>
        <v>0.66448734844965252</v>
      </c>
      <c r="M62" s="81">
        <f>'r-in'!Z38</f>
        <v>5182.2185899251645</v>
      </c>
      <c r="N62" s="162">
        <f>'r-in'!AA38</f>
        <v>4.2206028186747</v>
      </c>
      <c r="O62" s="81">
        <f>'r-in'!AB38</f>
        <v>1297776.6771839862</v>
      </c>
      <c r="P62" s="162">
        <f>'r-in'!AC38</f>
        <v>0.67345096321215292</v>
      </c>
      <c r="Q62" s="108">
        <f>'r-in'!AD38</f>
        <v>5936063.6365285385</v>
      </c>
      <c r="R62" s="162">
        <f>'r-in'!AE38</f>
        <v>0.67396473055276862</v>
      </c>
      <c r="S62" s="157">
        <f>'r-in'!AF38</f>
        <v>4.5516819220909115</v>
      </c>
      <c r="T62" s="157">
        <f>'r-in'!AG38</f>
        <v>1.5493223509148564E-2</v>
      </c>
      <c r="U62" s="157">
        <f>'r-in'!AH38</f>
        <v>4.5740256176346774</v>
      </c>
      <c r="V62" s="157">
        <f>'r-in'!AI38</f>
        <v>1.6187375236716147E-2</v>
      </c>
      <c r="W62" s="158">
        <v>5</v>
      </c>
      <c r="X62" s="762">
        <f t="shared" ref="X62:X75" si="32">$X$61 * Tb1Prim11B10B/($L$31 + $M$31*Tb1Order + IF($K$31&gt; 1,$N$31*Tb1Order^2) + IF($K$31&gt; 2,$O$31*Tb1Order^3) + IF($K$31&gt; 3,$P$31*Tb1Order^4) + IF($K$31&gt; 4,$Q$31*Tb1Order^5) + IF($K$31&gt; 5,$R$31*Tb1Order^6))</f>
        <v>0.8809292801768337</v>
      </c>
      <c r="Y62" s="387">
        <f t="shared" ref="Y62:Y63" si="33">U62*X62</f>
        <v>4.0293930948533134</v>
      </c>
      <c r="Z62" s="387">
        <f t="shared" ref="Z62:Z63" si="34">T62</f>
        <v>1.5493223509148564E-2</v>
      </c>
      <c r="AA62" s="473">
        <f>((Y62/AZ$29)-1)*1000</f>
        <v>-6.1923554437505191</v>
      </c>
      <c r="AB62" s="478">
        <f>AA62-(((Y62-(Y62/100*Z62))/AZ$29)-1)*1000</f>
        <v>0.1539728396221518</v>
      </c>
      <c r="AC62" s="108">
        <v>1</v>
      </c>
      <c r="AD62" s="159">
        <f t="shared" ref="AD62:AD75" si="35">($AQ$27*$AE$3^2)/ ($AE$61*Tb1SpotSize^2)/$AD$127</f>
        <v>8.3225607879347491E-2</v>
      </c>
      <c r="AE62" s="160">
        <v>285</v>
      </c>
      <c r="AF62" s="160">
        <v>14</v>
      </c>
      <c r="AG62" s="160">
        <v>2.1</v>
      </c>
      <c r="AH62" s="718">
        <f t="shared" ref="AH62:AH63" si="36">Q62*AD62*$AH$18 /($L$33 + $M$33*Tb1Order + IF($K$33&gt; 1,$N$33*Tb1Order^2) + IF($K$33&gt; 2,$O$33*Tb1Order^3) + IF($K$33&gt; 3,$P$33*Tb1Order^4) + IF($K$33&gt; 4,$Q$33*Tb1Order^5) + IF($K$33&gt; 5,$R$33*Tb1Order^6))</f>
        <v>1.8095397604178582</v>
      </c>
      <c r="AI62" s="86">
        <f>Q62/M62</f>
        <v>1145.4676281060272</v>
      </c>
      <c r="AJ62" s="86"/>
      <c r="AK62" s="86"/>
      <c r="AL62" s="86"/>
      <c r="AM62" s="86"/>
      <c r="AO62" s="81"/>
      <c r="AQ62" s="568"/>
      <c r="AR62" s="568"/>
      <c r="AS62" s="576"/>
      <c r="AT62" s="660"/>
      <c r="AU62" s="576"/>
      <c r="AV62" s="736"/>
      <c r="AW62" s="568"/>
      <c r="AX62" s="720"/>
      <c r="AY62" s="475"/>
      <c r="AZ62" s="475"/>
      <c r="BA62" s="475"/>
      <c r="BB62" s="475"/>
      <c r="BC62" s="475"/>
      <c r="BD62" s="552" t="s">
        <v>528</v>
      </c>
      <c r="BE62" s="553">
        <v>6</v>
      </c>
      <c r="BF62" s="554">
        <v>-5.84</v>
      </c>
      <c r="BG62" s="554">
        <v>0.13</v>
      </c>
      <c r="BH62" s="121">
        <v>3</v>
      </c>
      <c r="BI62" s="475"/>
      <c r="BJ62" s="475"/>
      <c r="BK62" s="161" t="str">
        <f>B62</f>
        <v>B5</v>
      </c>
      <c r="BL62" s="9">
        <f>AR62</f>
        <v>0</v>
      </c>
      <c r="BM62" s="10">
        <f>BN31</f>
        <v>-5.5</v>
      </c>
      <c r="BN62" s="475" t="e">
        <f>#REF!</f>
        <v>#REF!</v>
      </c>
      <c r="BO62" s="475" t="e">
        <f>BN62/(10-1)^0.5</f>
        <v>#REF!</v>
      </c>
      <c r="BP62" s="10">
        <f>BO31</f>
        <v>0</v>
      </c>
    </row>
    <row r="63" spans="1:68" ht="13" x14ac:dyDescent="0.15">
      <c r="A63" s="781" t="str">
        <f>'r-in'!A39</f>
        <v>006_C</v>
      </c>
      <c r="B63" s="691" t="s">
        <v>917</v>
      </c>
      <c r="C63" s="162">
        <f>'r-in'!P39</f>
        <v>6690.6339282598301</v>
      </c>
      <c r="D63" s="162">
        <f>'r-in'!Q39</f>
        <v>2.9974999755140082</v>
      </c>
      <c r="E63" s="81">
        <f>'r-in'!R39</f>
        <v>1187999.2450947433</v>
      </c>
      <c r="F63" s="162">
        <f>'r-in'!S39</f>
        <v>0.61267127948965605</v>
      </c>
      <c r="G63" s="81">
        <f>'r-in'!T39</f>
        <v>5326.500571547037</v>
      </c>
      <c r="H63" s="162">
        <f>'r-in'!U39</f>
        <v>3.0144313947815844</v>
      </c>
      <c r="I63" s="81">
        <f>'r-in'!V39</f>
        <v>6066.7898127095423</v>
      </c>
      <c r="J63" s="162">
        <f>'r-in'!W39</f>
        <v>2.2093653882802466</v>
      </c>
      <c r="K63" s="81">
        <f>'r-in'!X39</f>
        <v>5320504.9560634997</v>
      </c>
      <c r="L63" s="162">
        <f>'r-in'!Y39</f>
        <v>0.63124261186412689</v>
      </c>
      <c r="M63" s="81">
        <f>'r-in'!Z39</f>
        <v>5299.6469001631194</v>
      </c>
      <c r="N63" s="162">
        <f>'r-in'!AA39</f>
        <v>4.6889981482307617</v>
      </c>
      <c r="O63" s="81">
        <f>'r-in'!AB39</f>
        <v>1142433.866494213</v>
      </c>
      <c r="P63" s="162">
        <f>'r-in'!AC39</f>
        <v>0.6356114222101189</v>
      </c>
      <c r="Q63" s="108">
        <f>'r-in'!AD39</f>
        <v>5228480.0997996051</v>
      </c>
      <c r="R63" s="162">
        <f>'r-in'!AE39</f>
        <v>0.642534231399705</v>
      </c>
      <c r="S63" s="157">
        <f>'r-in'!AF39</f>
        <v>4.5526430524172152</v>
      </c>
      <c r="T63" s="157">
        <f>'r-in'!AG39</f>
        <v>2.2598138808476529E-2</v>
      </c>
      <c r="U63" s="157">
        <f>'r-in'!AH39</f>
        <v>4.5764755931919749</v>
      </c>
      <c r="V63" s="157">
        <f>'r-in'!AI39</f>
        <v>2.3634644975197794E-2</v>
      </c>
      <c r="W63" s="158">
        <v>6</v>
      </c>
      <c r="X63" s="762">
        <f t="shared" si="32"/>
        <v>0.88088631774544091</v>
      </c>
      <c r="Y63" s="387">
        <f t="shared" si="33"/>
        <v>4.0313547335387616</v>
      </c>
      <c r="Z63" s="387">
        <f t="shared" si="34"/>
        <v>2.2598138808476529E-2</v>
      </c>
      <c r="AA63" s="473">
        <f t="shared" ref="AA63:AA64" si="37">((Y63/AZ$29)-1)*1000</f>
        <v>-5.7085377879487753</v>
      </c>
      <c r="AB63" s="478">
        <f t="shared" ref="AB63:AB64" si="38">AA63-(((Y63-(Y63/100*Z63))/AZ$29)-1)*1000</f>
        <v>0.2246913647915294</v>
      </c>
      <c r="AC63" s="108">
        <v>1</v>
      </c>
      <c r="AD63" s="159">
        <f t="shared" si="35"/>
        <v>8.3225607879347491E-2</v>
      </c>
      <c r="AE63" s="160">
        <v>285</v>
      </c>
      <c r="AF63" s="160">
        <v>14</v>
      </c>
      <c r="AG63" s="160">
        <v>2.1</v>
      </c>
      <c r="AH63" s="718">
        <f t="shared" si="36"/>
        <v>1.597968391828533</v>
      </c>
      <c r="AI63" s="86">
        <f t="shared" ref="AI63:AI64" si="39">Q63/M63</f>
        <v>986.5714071702921</v>
      </c>
      <c r="AJ63" s="86"/>
      <c r="AK63" s="86"/>
      <c r="AL63" s="86"/>
      <c r="AM63" s="86"/>
      <c r="AU63" s="14"/>
      <c r="BA63" s="472"/>
    </row>
    <row r="64" spans="1:68" x14ac:dyDescent="0.2">
      <c r="A64" s="781" t="str">
        <f>'r-in'!A40</f>
        <v>055_C</v>
      </c>
      <c r="B64" s="691" t="s">
        <v>917</v>
      </c>
      <c r="C64" s="162">
        <f>'r-in'!P40</f>
        <v>6993.1133308275203</v>
      </c>
      <c r="D64" s="162">
        <f>'r-in'!Q40</f>
        <v>2.4114948920501553</v>
      </c>
      <c r="E64" s="81">
        <f>'r-in'!R40</f>
        <v>1375410.6396696463</v>
      </c>
      <c r="F64" s="162">
        <f>'r-in'!S40</f>
        <v>0.8249204632295899</v>
      </c>
      <c r="G64" s="81">
        <f>'r-in'!T40</f>
        <v>5568.0118883681826</v>
      </c>
      <c r="H64" s="162">
        <f>'r-in'!U40</f>
        <v>2.7207319072681049</v>
      </c>
      <c r="I64" s="81">
        <f>'r-in'!V40</f>
        <v>6341.3873506910559</v>
      </c>
      <c r="J64" s="162">
        <f>'r-in'!W40</f>
        <v>1.9536476065355797</v>
      </c>
      <c r="K64" s="81">
        <f>'r-in'!X40</f>
        <v>6184650.4291969836</v>
      </c>
      <c r="L64" s="162">
        <f>'r-in'!Y40</f>
        <v>0.84134734390542865</v>
      </c>
      <c r="M64" s="81">
        <f>'r-in'!Z40</f>
        <v>4163.7751317029788</v>
      </c>
      <c r="N64" s="162">
        <f>'r-in'!AA40</f>
        <v>5.0331849591183495</v>
      </c>
      <c r="O64" s="81">
        <f>'r-in'!AB40</f>
        <v>1330993.7010097667</v>
      </c>
      <c r="P64" s="162">
        <f>'r-in'!AC40</f>
        <v>0.84894090696019486</v>
      </c>
      <c r="Q64" s="108">
        <f>'r-in'!AD40</f>
        <v>6098763.5607898636</v>
      </c>
      <c r="R64" s="162">
        <f>'r-in'!AE40</f>
        <v>0.85202779399211126</v>
      </c>
      <c r="S64" s="157">
        <f>'r-in'!AF40</f>
        <v>4.5603031234014759</v>
      </c>
      <c r="T64" s="157">
        <f>'r-in'!AG40</f>
        <v>1.576989365270362E-2</v>
      </c>
      <c r="U64" s="157">
        <f>'r-in'!AH40</f>
        <v>4.5820443687853807</v>
      </c>
      <c r="V64" s="157">
        <f>'r-in'!AI40</f>
        <v>1.6571783360878285E-2</v>
      </c>
      <c r="W64" s="158">
        <v>55</v>
      </c>
      <c r="X64" s="762">
        <f t="shared" si="32"/>
        <v>0.8801930864259967</v>
      </c>
      <c r="Y64" s="387">
        <f t="shared" ref="Y64:Y75" si="40">U64*X64</f>
        <v>4.0330837751020621</v>
      </c>
      <c r="Z64" s="387">
        <f t="shared" ref="Z64:Z75" si="41">T64</f>
        <v>1.576989365270362E-2</v>
      </c>
      <c r="AA64" s="473">
        <f t="shared" si="37"/>
        <v>-5.2820877785023646</v>
      </c>
      <c r="AB64" s="478">
        <f t="shared" si="38"/>
        <v>0.15686595690178606</v>
      </c>
      <c r="AC64" s="108">
        <v>1</v>
      </c>
      <c r="AD64" s="159">
        <f t="shared" si="35"/>
        <v>8.3225607879347491E-2</v>
      </c>
      <c r="AE64" s="160">
        <v>285</v>
      </c>
      <c r="AF64" s="160">
        <v>14</v>
      </c>
      <c r="AG64" s="160">
        <v>2.1</v>
      </c>
      <c r="AH64" s="718">
        <f t="shared" ref="AH64:AH75" si="42">Q64*AD64*$AH$18 /($L$33 + $M$33*Tb1Order + IF($K$33&gt; 1,$N$33*Tb1Order^2) + IF($K$33&gt; 2,$O$33*Tb1Order^3) + IF($K$33&gt; 3,$P$33*Tb1Order^4) + IF($K$33&gt; 4,$Q$33*Tb1Order^5) + IF($K$33&gt; 5,$R$33*Tb1Order^6))</f>
        <v>2.0684856514058372</v>
      </c>
      <c r="AI64" s="86">
        <f t="shared" si="39"/>
        <v>1464.7197237799624</v>
      </c>
      <c r="AJ64" s="86"/>
      <c r="AK64" s="86"/>
      <c r="AL64" s="86"/>
      <c r="AM64" s="86"/>
      <c r="AO64" s="81"/>
      <c r="AQ64" s="568"/>
      <c r="AR64" s="568"/>
      <c r="AS64" s="576"/>
      <c r="AT64" s="660"/>
      <c r="AU64" s="576"/>
      <c r="AV64" s="736"/>
      <c r="AW64" s="568"/>
      <c r="AX64" s="720"/>
      <c r="AY64" s="475"/>
      <c r="AZ64" s="475"/>
      <c r="BA64" s="475"/>
      <c r="BB64" s="475"/>
      <c r="BC64" s="475"/>
      <c r="BD64" s="552" t="s">
        <v>537</v>
      </c>
      <c r="BE64" s="553">
        <v>6</v>
      </c>
      <c r="BF64" s="554">
        <v>-5.84</v>
      </c>
      <c r="BG64" s="554">
        <v>0.13</v>
      </c>
      <c r="BH64" s="121">
        <v>3</v>
      </c>
      <c r="BI64" s="475"/>
      <c r="BJ64" s="475"/>
      <c r="BK64" s="161" t="str">
        <f t="shared" ref="BK64" si="43">B64</f>
        <v>B5</v>
      </c>
      <c r="BL64" s="9">
        <f t="shared" ref="BL64" si="44">AR64</f>
        <v>0</v>
      </c>
      <c r="BM64" s="10">
        <f t="shared" ref="BM64" si="45">BN33</f>
        <v>0</v>
      </c>
      <c r="BN64" s="475" t="e">
        <f>#REF!</f>
        <v>#REF!</v>
      </c>
      <c r="BO64" s="475" t="e">
        <f t="shared" ref="BO64" si="46">BN64/(10-1)^0.5</f>
        <v>#REF!</v>
      </c>
      <c r="BP64" s="10">
        <f t="shared" ref="BP64" si="47">BO33</f>
        <v>0</v>
      </c>
    </row>
    <row r="65" spans="1:68" ht="13" x14ac:dyDescent="0.15">
      <c r="A65" s="781" t="str">
        <f>'r-in'!A41</f>
        <v>056_C</v>
      </c>
      <c r="B65" s="691" t="s">
        <v>917</v>
      </c>
      <c r="C65" s="162">
        <f>'r-in'!P41</f>
        <v>6321.1050332773993</v>
      </c>
      <c r="D65" s="162">
        <f>'r-in'!Q41</f>
        <v>2.5736356566366085</v>
      </c>
      <c r="E65" s="81">
        <f>'r-in'!R41</f>
        <v>1269859.9831340883</v>
      </c>
      <c r="F65" s="162">
        <f>'r-in'!S41</f>
        <v>0.36072366009726936</v>
      </c>
      <c r="G65" s="81">
        <f>'r-in'!T41</f>
        <v>5033.5688437076897</v>
      </c>
      <c r="H65" s="162">
        <f>'r-in'!U41</f>
        <v>3.1861033145179278</v>
      </c>
      <c r="I65" s="81">
        <f>'r-in'!V41</f>
        <v>5732.290258337317</v>
      </c>
      <c r="J65" s="162">
        <f>'r-in'!W41</f>
        <v>1.7958890200214523</v>
      </c>
      <c r="K65" s="81">
        <f>'r-in'!X41</f>
        <v>5700633.7601226661</v>
      </c>
      <c r="L65" s="162">
        <f>'r-in'!Y41</f>
        <v>0.36950419989755079</v>
      </c>
      <c r="M65" s="81">
        <f>'r-in'!Z41</f>
        <v>3987.286844594933</v>
      </c>
      <c r="N65" s="162">
        <f>'r-in'!AA41</f>
        <v>5.1957068398320807</v>
      </c>
      <c r="O65" s="81">
        <f>'r-in'!AB41</f>
        <v>1225957.3640070437</v>
      </c>
      <c r="P65" s="162">
        <f>'r-in'!AC41</f>
        <v>0.3742483316661448</v>
      </c>
      <c r="Q65" s="108">
        <f>'r-in'!AD41</f>
        <v>5615161.1495544752</v>
      </c>
      <c r="R65" s="162">
        <f>'r-in'!AE41</f>
        <v>0.374701255203156</v>
      </c>
      <c r="S65" s="157">
        <f>'r-in'!AF41</f>
        <v>4.5597271868643512</v>
      </c>
      <c r="T65" s="157">
        <f>'r-in'!AG41</f>
        <v>2.0329726700229395E-2</v>
      </c>
      <c r="U65" s="157">
        <f>'r-in'!AH41</f>
        <v>4.5802276883203232</v>
      </c>
      <c r="V65" s="157">
        <f>'r-in'!AI41</f>
        <v>2.0860612028848938E-2</v>
      </c>
      <c r="W65" s="158">
        <v>56</v>
      </c>
      <c r="X65" s="762">
        <f t="shared" si="32"/>
        <v>0.88020059105764803</v>
      </c>
      <c r="Y65" s="387">
        <f t="shared" si="40"/>
        <v>4.0315191184381538</v>
      </c>
      <c r="Z65" s="387">
        <f t="shared" si="41"/>
        <v>2.0329726700229395E-2</v>
      </c>
      <c r="AA65" s="473">
        <f t="shared" ref="AA65:AA75" si="48">((Y65/AZ$29)-1)*1000</f>
        <v>-5.6679939725851058</v>
      </c>
      <c r="AB65" s="478">
        <f t="shared" ref="AB65:AB75" si="49">AA65-(((Y65-(Y65/100*Z65))/AZ$29)-1)*1000</f>
        <v>0.20214497931825282</v>
      </c>
      <c r="AC65" s="108">
        <v>1</v>
      </c>
      <c r="AD65" s="159">
        <f t="shared" si="35"/>
        <v>8.3225607879347491E-2</v>
      </c>
      <c r="AE65" s="160">
        <v>285</v>
      </c>
      <c r="AF65" s="160">
        <v>14</v>
      </c>
      <c r="AG65" s="160">
        <v>2.1</v>
      </c>
      <c r="AH65" s="718">
        <f t="shared" si="42"/>
        <v>1.9076578876866455</v>
      </c>
      <c r="AI65" s="86">
        <f t="shared" ref="AI65:AI75" si="50">Q65/M65</f>
        <v>1408.2661640373951</v>
      </c>
      <c r="AJ65" s="86"/>
      <c r="AK65" s="86"/>
      <c r="AL65" s="86"/>
      <c r="AM65" s="86"/>
      <c r="AU65" s="14"/>
      <c r="BA65" s="472"/>
    </row>
    <row r="66" spans="1:68" x14ac:dyDescent="0.2">
      <c r="A66" s="781" t="str">
        <f>'r-in'!A42</f>
        <v>105_C</v>
      </c>
      <c r="B66" s="691" t="s">
        <v>917</v>
      </c>
      <c r="C66" s="162">
        <f>'r-in'!P42</f>
        <v>6418.6313200583309</v>
      </c>
      <c r="D66" s="162">
        <f>'r-in'!Q42</f>
        <v>2.5419734377168579</v>
      </c>
      <c r="E66" s="81">
        <f>'r-in'!R42</f>
        <v>1228874.9182469521</v>
      </c>
      <c r="F66" s="162">
        <f>'r-in'!S42</f>
        <v>0.67345454981889086</v>
      </c>
      <c r="G66" s="81">
        <f>'r-in'!T42</f>
        <v>5062.0400421526374</v>
      </c>
      <c r="H66" s="162">
        <f>'r-in'!U42</f>
        <v>3.3122680043746553</v>
      </c>
      <c r="I66" s="81">
        <f>'r-in'!V42</f>
        <v>5798.2363405178585</v>
      </c>
      <c r="J66" s="162">
        <f>'r-in'!W42</f>
        <v>1.8533763219106396</v>
      </c>
      <c r="K66" s="81">
        <f>'r-in'!X42</f>
        <v>5515361.7038234547</v>
      </c>
      <c r="L66" s="162">
        <f>'r-in'!Y42</f>
        <v>0.69009241698397206</v>
      </c>
      <c r="M66" s="81">
        <f>'r-in'!Z42</f>
        <v>4232.5683254698679</v>
      </c>
      <c r="N66" s="162">
        <f>'r-in'!AA42</f>
        <v>5.5457975515229228</v>
      </c>
      <c r="O66" s="81">
        <f>'r-in'!AB42</f>
        <v>1187036.9540146734</v>
      </c>
      <c r="P66" s="162">
        <f>'r-in'!AC42</f>
        <v>0.69621127740563182</v>
      </c>
      <c r="Q66" s="108">
        <f>'r-in'!AD42</f>
        <v>5433894.5466012657</v>
      </c>
      <c r="R66" s="162">
        <f>'r-in'!AE42</f>
        <v>0.70039092686198623</v>
      </c>
      <c r="S66" s="157">
        <f>'r-in'!AF42</f>
        <v>4.5542839354398241</v>
      </c>
      <c r="T66" s="157">
        <f>'r-in'!AG42</f>
        <v>1.7524773962443087E-2</v>
      </c>
      <c r="U66" s="157">
        <f>'r-in'!AH42</f>
        <v>4.57761007196956</v>
      </c>
      <c r="V66" s="157">
        <f>'r-in'!AI42</f>
        <v>1.9360855436848179E-2</v>
      </c>
      <c r="W66" s="158">
        <v>105</v>
      </c>
      <c r="X66" s="762">
        <f t="shared" si="32"/>
        <v>0.8810712109027321</v>
      </c>
      <c r="Y66" s="387">
        <f t="shared" si="40"/>
        <v>4.0332004491507627</v>
      </c>
      <c r="Z66" s="387">
        <f t="shared" si="41"/>
        <v>1.7524773962443087E-2</v>
      </c>
      <c r="AA66" s="473">
        <f t="shared" si="48"/>
        <v>-5.2533113452305491</v>
      </c>
      <c r="AB66" s="478">
        <f t="shared" si="49"/>
        <v>0.1743271086855902</v>
      </c>
      <c r="AC66" s="108">
        <v>1</v>
      </c>
      <c r="AD66" s="159">
        <f t="shared" si="35"/>
        <v>8.3225607879347491E-2</v>
      </c>
      <c r="AE66" s="160">
        <v>285</v>
      </c>
      <c r="AF66" s="160">
        <v>14</v>
      </c>
      <c r="AG66" s="160">
        <v>2.1</v>
      </c>
      <c r="AH66" s="718">
        <f t="shared" si="42"/>
        <v>1.9658665395874095</v>
      </c>
      <c r="AI66" s="86">
        <f t="shared" si="50"/>
        <v>1283.8291384222453</v>
      </c>
      <c r="AJ66" s="86"/>
      <c r="AK66" s="86"/>
      <c r="AL66" s="86"/>
      <c r="AM66" s="86"/>
      <c r="AO66" s="81"/>
      <c r="AQ66" s="568"/>
      <c r="AR66" s="568"/>
      <c r="AS66" s="576"/>
      <c r="AT66" s="660"/>
      <c r="AU66" s="576"/>
      <c r="AV66" s="736"/>
      <c r="AW66" s="568"/>
      <c r="AX66" s="720"/>
      <c r="AY66" s="475"/>
      <c r="AZ66" s="475"/>
      <c r="BA66" s="475"/>
      <c r="BB66" s="475"/>
      <c r="BC66" s="475"/>
      <c r="BD66" s="552" t="s">
        <v>538</v>
      </c>
      <c r="BE66" s="553">
        <v>6</v>
      </c>
      <c r="BF66" s="554">
        <v>-5.84</v>
      </c>
      <c r="BG66" s="554">
        <v>0.13</v>
      </c>
      <c r="BH66" s="121">
        <v>3</v>
      </c>
      <c r="BI66" s="475"/>
      <c r="BJ66" s="475"/>
      <c r="BK66" s="161" t="str">
        <f t="shared" ref="BK66" si="51">B66</f>
        <v>B5</v>
      </c>
      <c r="BL66" s="9">
        <f t="shared" ref="BL66" si="52">AR66</f>
        <v>0</v>
      </c>
      <c r="BM66" s="10">
        <f t="shared" ref="BM66" si="53">BN35</f>
        <v>0</v>
      </c>
      <c r="BN66" s="475" t="e">
        <f>#REF!</f>
        <v>#REF!</v>
      </c>
      <c r="BO66" s="475" t="e">
        <f t="shared" ref="BO66" si="54">BN66/(10-1)^0.5</f>
        <v>#REF!</v>
      </c>
      <c r="BP66" s="10">
        <f t="shared" ref="BP66" si="55">BO35</f>
        <v>0</v>
      </c>
    </row>
    <row r="67" spans="1:68" ht="13" x14ac:dyDescent="0.15">
      <c r="A67" s="781" t="str">
        <f>'r-in'!A43</f>
        <v>106_C</v>
      </c>
      <c r="B67" s="691" t="s">
        <v>917</v>
      </c>
      <c r="C67" s="162">
        <f>'r-in'!P43</f>
        <v>4996.5298669405101</v>
      </c>
      <c r="D67" s="162">
        <f>'r-in'!Q43</f>
        <v>3.3570351935919338</v>
      </c>
      <c r="E67" s="81">
        <f>'r-in'!R43</f>
        <v>1121589.5836166611</v>
      </c>
      <c r="F67" s="162">
        <f>'r-in'!S43</f>
        <v>1.3762506509683194</v>
      </c>
      <c r="G67" s="81">
        <f>'r-in'!T43</f>
        <v>4086.3715338927796</v>
      </c>
      <c r="H67" s="162">
        <f>'r-in'!U43</f>
        <v>4.3978366240836566</v>
      </c>
      <c r="I67" s="81">
        <f>'r-in'!V43</f>
        <v>4580.2971595612798</v>
      </c>
      <c r="J67" s="162">
        <f>'r-in'!W43</f>
        <v>2.7183376014095271</v>
      </c>
      <c r="K67" s="81">
        <f>'r-in'!X43</f>
        <v>5029782.7609843155</v>
      </c>
      <c r="L67" s="162">
        <f>'r-in'!Y43</f>
        <v>1.408106107129633</v>
      </c>
      <c r="M67" s="81">
        <f>'r-in'!Z43</f>
        <v>4422.2745181438459</v>
      </c>
      <c r="N67" s="162">
        <f>'r-in'!AA43</f>
        <v>4.5182741458056617</v>
      </c>
      <c r="O67" s="81">
        <f>'r-in'!AB43</f>
        <v>1080675.7675854275</v>
      </c>
      <c r="P67" s="162">
        <f>'r-in'!AC43</f>
        <v>1.428522753763636</v>
      </c>
      <c r="Q67" s="108">
        <f>'r-in'!AD43</f>
        <v>4947825.4793643141</v>
      </c>
      <c r="R67" s="162">
        <f>'r-in'!AE43</f>
        <v>1.430677612458557</v>
      </c>
      <c r="S67" s="157">
        <f>'r-in'!AF43</f>
        <v>4.5584416046997909</v>
      </c>
      <c r="T67" s="157">
        <f>'r-in'!AG43</f>
        <v>2.1738273271182725E-2</v>
      </c>
      <c r="U67" s="157">
        <f>'r-in'!AH43</f>
        <v>4.5783628721590528</v>
      </c>
      <c r="V67" s="157">
        <f>'r-in'!AI43</f>
        <v>2.16465937349807E-2</v>
      </c>
      <c r="W67" s="158">
        <v>106</v>
      </c>
      <c r="X67" s="762">
        <f t="shared" si="32"/>
        <v>0.88109462767284241</v>
      </c>
      <c r="Y67" s="387">
        <f t="shared" si="40"/>
        <v>4.0339709301961459</v>
      </c>
      <c r="Z67" s="387">
        <f t="shared" si="41"/>
        <v>2.1738273271182725E-2</v>
      </c>
      <c r="AA67" s="473">
        <f t="shared" si="48"/>
        <v>-5.0632802574557267</v>
      </c>
      <c r="AB67" s="478">
        <f t="shared" si="49"/>
        <v>0.21628206301294028</v>
      </c>
      <c r="AC67" s="108">
        <v>1</v>
      </c>
      <c r="AD67" s="159">
        <f t="shared" si="35"/>
        <v>8.3225607879347491E-2</v>
      </c>
      <c r="AE67" s="160">
        <v>285</v>
      </c>
      <c r="AF67" s="160">
        <v>14</v>
      </c>
      <c r="AG67" s="160">
        <v>2.1</v>
      </c>
      <c r="AH67" s="718">
        <f t="shared" si="42"/>
        <v>1.791694749567835</v>
      </c>
      <c r="AI67" s="86">
        <f t="shared" si="50"/>
        <v>1118.8417767970354</v>
      </c>
      <c r="AJ67" s="86"/>
      <c r="AK67" s="86"/>
      <c r="AL67" s="86"/>
      <c r="AM67" s="86"/>
      <c r="AU67" s="14"/>
      <c r="BA67" s="472"/>
    </row>
    <row r="68" spans="1:68" x14ac:dyDescent="0.2">
      <c r="A68" s="781" t="str">
        <f>'r-in'!A44</f>
        <v>155_C</v>
      </c>
      <c r="B68" s="691" t="s">
        <v>917</v>
      </c>
      <c r="C68" s="162">
        <f>'r-in'!P44</f>
        <v>5962.4839036314752</v>
      </c>
      <c r="D68" s="162">
        <f>'r-in'!Q44</f>
        <v>2.815421215449863</v>
      </c>
      <c r="E68" s="81">
        <f>'r-in'!R44</f>
        <v>1271063.0115146523</v>
      </c>
      <c r="F68" s="162">
        <f>'r-in'!S44</f>
        <v>0.91722595386828698</v>
      </c>
      <c r="G68" s="81">
        <f>'r-in'!T44</f>
        <v>4975.4983429280483</v>
      </c>
      <c r="H68" s="162">
        <f>'r-in'!U44</f>
        <v>3.0304256502838096</v>
      </c>
      <c r="I68" s="81">
        <f>'r-in'!V44</f>
        <v>5511.116644596279</v>
      </c>
      <c r="J68" s="162">
        <f>'r-in'!W44</f>
        <v>2.1602968078173665</v>
      </c>
      <c r="K68" s="81">
        <f>'r-in'!X44</f>
        <v>5710334.3545017717</v>
      </c>
      <c r="L68" s="162">
        <f>'r-in'!Y44</f>
        <v>0.9351727804628599</v>
      </c>
      <c r="M68" s="81">
        <f>'r-in'!Z44</f>
        <v>4294.5914225343913</v>
      </c>
      <c r="N68" s="162">
        <f>'r-in'!AA44</f>
        <v>5.9795411311905973</v>
      </c>
      <c r="O68" s="81">
        <f>'r-in'!AB44</f>
        <v>1231030.36268837</v>
      </c>
      <c r="P68" s="162">
        <f>'r-in'!AC44</f>
        <v>0.94654172309514473</v>
      </c>
      <c r="Q68" s="108">
        <f>'r-in'!AD44</f>
        <v>5631887.843913231</v>
      </c>
      <c r="R68" s="162">
        <f>'r-in'!AE44</f>
        <v>0.94728544107619161</v>
      </c>
      <c r="S68" s="157">
        <f>'r-in'!AF44</f>
        <v>4.5553110842891309</v>
      </c>
      <c r="T68" s="157">
        <f>'r-in'!AG44</f>
        <v>1.7889290029270203E-2</v>
      </c>
      <c r="U68" s="157">
        <f>'r-in'!AH44</f>
        <v>4.5749242198293123</v>
      </c>
      <c r="V68" s="157">
        <f>'r-in'!AI44</f>
        <v>1.5451877103471066E-2</v>
      </c>
      <c r="W68" s="158">
        <v>155</v>
      </c>
      <c r="X68" s="762">
        <f t="shared" si="32"/>
        <v>0.8821971367337309</v>
      </c>
      <c r="Y68" s="387">
        <f t="shared" si="40"/>
        <v>4.035985047507217</v>
      </c>
      <c r="Z68" s="387">
        <f t="shared" si="41"/>
        <v>1.7889290029270203E-2</v>
      </c>
      <c r="AA68" s="473">
        <f t="shared" si="48"/>
        <v>-4.5665192977637492</v>
      </c>
      <c r="AB68" s="478">
        <f t="shared" si="49"/>
        <v>0.17807598241137423</v>
      </c>
      <c r="AC68" s="108">
        <v>1</v>
      </c>
      <c r="AD68" s="159">
        <f t="shared" si="35"/>
        <v>8.3225607879347491E-2</v>
      </c>
      <c r="AE68" s="160">
        <v>285</v>
      </c>
      <c r="AF68" s="160">
        <v>14</v>
      </c>
      <c r="AG68" s="160">
        <v>2.1</v>
      </c>
      <c r="AH68" s="718">
        <f t="shared" si="42"/>
        <v>2.1108879855345477</v>
      </c>
      <c r="AI68" s="86">
        <f t="shared" si="50"/>
        <v>1311.390837871523</v>
      </c>
      <c r="AJ68" s="86"/>
      <c r="AK68" s="86"/>
      <c r="AL68" s="86"/>
      <c r="AM68" s="86"/>
      <c r="AO68" s="81"/>
      <c r="AQ68" s="568"/>
      <c r="AR68" s="568"/>
      <c r="AS68" s="576"/>
      <c r="AT68" s="660"/>
      <c r="AU68" s="576"/>
      <c r="AV68" s="736"/>
      <c r="AW68" s="568"/>
      <c r="AX68" s="720"/>
      <c r="AY68" s="475"/>
      <c r="AZ68" s="475"/>
      <c r="BA68" s="475"/>
      <c r="BB68" s="475"/>
      <c r="BC68" s="475"/>
      <c r="BD68" s="552" t="s">
        <v>539</v>
      </c>
      <c r="BE68" s="553">
        <v>6</v>
      </c>
      <c r="BF68" s="554">
        <v>-5.84</v>
      </c>
      <c r="BG68" s="554">
        <v>0.13</v>
      </c>
      <c r="BH68" s="121">
        <v>3</v>
      </c>
      <c r="BI68" s="475"/>
      <c r="BJ68" s="475"/>
      <c r="BK68" s="161" t="str">
        <f t="shared" ref="BK68" si="56">B68</f>
        <v>B5</v>
      </c>
      <c r="BL68" s="9">
        <f t="shared" ref="BL68" si="57">AR68</f>
        <v>0</v>
      </c>
      <c r="BM68" s="10">
        <f t="shared" ref="BM68" si="58">BN37</f>
        <v>0</v>
      </c>
      <c r="BN68" s="475" t="e">
        <f>#REF!</f>
        <v>#REF!</v>
      </c>
      <c r="BO68" s="475" t="e">
        <f t="shared" ref="BO68" si="59">BN68/(10-1)^0.5</f>
        <v>#REF!</v>
      </c>
      <c r="BP68" s="10">
        <f t="shared" ref="BP68" si="60">BO37</f>
        <v>0</v>
      </c>
    </row>
    <row r="69" spans="1:68" ht="13" x14ac:dyDescent="0.15">
      <c r="A69" s="781" t="str">
        <f>'r-in'!A45</f>
        <v>156_C</v>
      </c>
      <c r="B69" s="691" t="s">
        <v>917</v>
      </c>
      <c r="C69" s="162">
        <f>'r-in'!P45</f>
        <v>6147.4072270037741</v>
      </c>
      <c r="D69" s="162">
        <f>'r-in'!Q45</f>
        <v>3.2124801473133964</v>
      </c>
      <c r="E69" s="81">
        <f>'r-in'!R45</f>
        <v>1119162.6842542044</v>
      </c>
      <c r="F69" s="162">
        <f>'r-in'!S45</f>
        <v>1.0637771595712744</v>
      </c>
      <c r="G69" s="81">
        <f>'r-in'!T45</f>
        <v>4924.2940157163785</v>
      </c>
      <c r="H69" s="162">
        <f>'r-in'!U45</f>
        <v>3.8477741568168176</v>
      </c>
      <c r="I69" s="81">
        <f>'r-in'!V45</f>
        <v>5588.0543046823341</v>
      </c>
      <c r="J69" s="162">
        <f>'r-in'!W45</f>
        <v>2.3524360444760055</v>
      </c>
      <c r="K69" s="81">
        <f>'r-in'!X45</f>
        <v>5015431.8931734459</v>
      </c>
      <c r="L69" s="162">
        <f>'r-in'!Y45</f>
        <v>1.0811988081343613</v>
      </c>
      <c r="M69" s="81">
        <f>'r-in'!Z45</f>
        <v>3975.6093102437585</v>
      </c>
      <c r="N69" s="162">
        <f>'r-in'!AA45</f>
        <v>5.7971381264481243</v>
      </c>
      <c r="O69" s="81">
        <f>'r-in'!AB45</f>
        <v>1078653.6717851248</v>
      </c>
      <c r="P69" s="162">
        <f>'r-in'!AC45</f>
        <v>1.1010381359199686</v>
      </c>
      <c r="Q69" s="108">
        <f>'r-in'!AD45</f>
        <v>4935835.0612938097</v>
      </c>
      <c r="R69" s="162">
        <f>'r-in'!AE45</f>
        <v>1.0984556841992807</v>
      </c>
      <c r="S69" s="157">
        <f>'r-in'!AF45</f>
        <v>4.5524377048781002</v>
      </c>
      <c r="T69" s="157">
        <f>'r-in'!AG45</f>
        <v>1.6650696760288648E-2</v>
      </c>
      <c r="U69" s="157">
        <f>'r-in'!AH45</f>
        <v>4.5760433377249834</v>
      </c>
      <c r="V69" s="157">
        <f>'r-in'!AI45</f>
        <v>2.0733933286610211E-2</v>
      </c>
      <c r="W69" s="158">
        <v>156</v>
      </c>
      <c r="X69" s="762">
        <f t="shared" si="32"/>
        <v>0.88221657191536473</v>
      </c>
      <c r="Y69" s="387">
        <f t="shared" si="40"/>
        <v>4.0370612663438781</v>
      </c>
      <c r="Z69" s="387">
        <f t="shared" si="41"/>
        <v>1.6650696760288648E-2</v>
      </c>
      <c r="AA69" s="473">
        <f t="shared" si="48"/>
        <v>-4.30108118291328</v>
      </c>
      <c r="AB69" s="478">
        <f t="shared" si="49"/>
        <v>0.16579080761769394</v>
      </c>
      <c r="AC69" s="108">
        <v>1</v>
      </c>
      <c r="AD69" s="159">
        <f t="shared" si="35"/>
        <v>8.3225607879347491E-2</v>
      </c>
      <c r="AE69" s="160">
        <v>285</v>
      </c>
      <c r="AF69" s="160">
        <v>14</v>
      </c>
      <c r="AG69" s="160">
        <v>2.1</v>
      </c>
      <c r="AH69" s="718">
        <f t="shared" si="42"/>
        <v>1.850993382594351</v>
      </c>
      <c r="AI69" s="86">
        <f t="shared" si="50"/>
        <v>1241.5292037313336</v>
      </c>
      <c r="AJ69" s="86"/>
      <c r="AK69" s="86"/>
      <c r="AL69" s="86"/>
      <c r="AM69" s="86"/>
      <c r="AU69" s="14"/>
      <c r="BA69" s="472"/>
    </row>
    <row r="70" spans="1:68" x14ac:dyDescent="0.2">
      <c r="A70" s="781" t="str">
        <f>'r-in'!A46</f>
        <v>205_C</v>
      </c>
      <c r="B70" s="691" t="s">
        <v>917</v>
      </c>
      <c r="C70" s="162">
        <f>'r-in'!P46</f>
        <v>5696.8608020572829</v>
      </c>
      <c r="D70" s="162">
        <f>'r-in'!Q46</f>
        <v>3.5548713836624688</v>
      </c>
      <c r="E70" s="81">
        <f>'r-in'!R46</f>
        <v>1114767.3365661714</v>
      </c>
      <c r="F70" s="162">
        <f>'r-in'!S46</f>
        <v>0.82459659763814719</v>
      </c>
      <c r="G70" s="81">
        <f>'r-in'!T46</f>
        <v>5300.953739224582</v>
      </c>
      <c r="H70" s="162">
        <f>'r-in'!U46</f>
        <v>3.0177564294578567</v>
      </c>
      <c r="I70" s="81">
        <f>'r-in'!V46</f>
        <v>5515.8049762191522</v>
      </c>
      <c r="J70" s="162">
        <f>'r-in'!W46</f>
        <v>2.4025299120991099</v>
      </c>
      <c r="K70" s="81">
        <f>'r-in'!X46</f>
        <v>4994972.4438200733</v>
      </c>
      <c r="L70" s="162">
        <f>'r-in'!Y46</f>
        <v>0.83970913802314517</v>
      </c>
      <c r="M70" s="81">
        <f>'r-in'!Z46</f>
        <v>4258.7719655629717</v>
      </c>
      <c r="N70" s="162">
        <f>'r-in'!AA46</f>
        <v>5.3071900700318038</v>
      </c>
      <c r="O70" s="81">
        <f>'r-in'!AB46</f>
        <v>1075842.6408927664</v>
      </c>
      <c r="P70" s="162">
        <f>'r-in'!AC46</f>
        <v>0.85171723610438099</v>
      </c>
      <c r="Q70" s="108">
        <f>'r-in'!AD46</f>
        <v>4918981.2707191184</v>
      </c>
      <c r="R70" s="162">
        <f>'r-in'!AE46</f>
        <v>0.85305340210946778</v>
      </c>
      <c r="S70" s="157">
        <f>'r-in'!AF46</f>
        <v>4.5490111501356374</v>
      </c>
      <c r="T70" s="157">
        <f>'r-in'!AG46</f>
        <v>1.7306836099194305E-2</v>
      </c>
      <c r="U70" s="157">
        <f>'r-in'!AH46</f>
        <v>4.5721979842238101</v>
      </c>
      <c r="V70" s="157">
        <f>'r-in'!AI46</f>
        <v>2.134718875748268E-2</v>
      </c>
      <c r="W70" s="158">
        <v>205</v>
      </c>
      <c r="X70" s="762">
        <f t="shared" si="32"/>
        <v>0.88293273006455997</v>
      </c>
      <c r="Y70" s="387">
        <f t="shared" si="40"/>
        <v>4.0369432486064065</v>
      </c>
      <c r="Z70" s="387">
        <f t="shared" si="41"/>
        <v>1.7306836099194305E-2</v>
      </c>
      <c r="AA70" s="473">
        <f t="shared" si="48"/>
        <v>-4.3301890229605622</v>
      </c>
      <c r="AB70" s="478">
        <f t="shared" si="49"/>
        <v>0.1723189422749849</v>
      </c>
      <c r="AC70" s="108">
        <v>1</v>
      </c>
      <c r="AD70" s="159">
        <f t="shared" si="35"/>
        <v>8.3225607879347491E-2</v>
      </c>
      <c r="AE70" s="160">
        <v>285</v>
      </c>
      <c r="AF70" s="160">
        <v>14</v>
      </c>
      <c r="AG70" s="160">
        <v>2.1</v>
      </c>
      <c r="AH70" s="718">
        <f t="shared" si="42"/>
        <v>1.8914840945557296</v>
      </c>
      <c r="AI70" s="86">
        <f t="shared" si="50"/>
        <v>1155.0233988799334</v>
      </c>
      <c r="AJ70" s="86"/>
      <c r="AK70" s="86"/>
      <c r="AL70" s="86"/>
      <c r="AM70" s="86"/>
      <c r="AO70" s="81"/>
      <c r="AQ70" s="568"/>
      <c r="AR70" s="568"/>
      <c r="AS70" s="576"/>
      <c r="AT70" s="660"/>
      <c r="AU70" s="576"/>
      <c r="AV70" s="736"/>
      <c r="AW70" s="568"/>
      <c r="AX70" s="720"/>
      <c r="AY70" s="475"/>
      <c r="AZ70" s="475"/>
      <c r="BA70" s="475"/>
      <c r="BB70" s="475"/>
      <c r="BC70" s="475"/>
      <c r="BD70" s="552" t="s">
        <v>540</v>
      </c>
      <c r="BE70" s="553">
        <v>6</v>
      </c>
      <c r="BF70" s="554">
        <v>-5.84</v>
      </c>
      <c r="BG70" s="554">
        <v>0.13</v>
      </c>
      <c r="BH70" s="121">
        <v>3</v>
      </c>
      <c r="BI70" s="475"/>
      <c r="BJ70" s="475"/>
      <c r="BK70" s="161" t="str">
        <f t="shared" ref="BK70" si="61">B70</f>
        <v>B5</v>
      </c>
      <c r="BL70" s="9">
        <f t="shared" ref="BL70" si="62">AR70</f>
        <v>0</v>
      </c>
      <c r="BM70" s="10">
        <f t="shared" ref="BM70" si="63">BN39</f>
        <v>0</v>
      </c>
      <c r="BN70" s="475" t="e">
        <f>#REF!</f>
        <v>#REF!</v>
      </c>
      <c r="BO70" s="475" t="e">
        <f t="shared" ref="BO70" si="64">BN70/(10-1)^0.5</f>
        <v>#REF!</v>
      </c>
      <c r="BP70" s="10">
        <f t="shared" ref="BP70" si="65">BO39</f>
        <v>0</v>
      </c>
    </row>
    <row r="71" spans="1:68" ht="13" x14ac:dyDescent="0.15">
      <c r="A71" s="781" t="str">
        <f>'r-in'!A47</f>
        <v>206_C</v>
      </c>
      <c r="B71" s="691" t="s">
        <v>917</v>
      </c>
      <c r="C71" s="162">
        <f>'r-in'!P47</f>
        <v>5217.0815516059829</v>
      </c>
      <c r="D71" s="162">
        <f>'r-in'!Q47</f>
        <v>3.6044920678870271</v>
      </c>
      <c r="E71" s="81">
        <f>'r-in'!R47</f>
        <v>1092052.1070976919</v>
      </c>
      <c r="F71" s="162">
        <f>'r-in'!S47</f>
        <v>0.83183325241191741</v>
      </c>
      <c r="G71" s="81">
        <f>'r-in'!T47</f>
        <v>4573.9433521099618</v>
      </c>
      <c r="H71" s="162">
        <f>'r-in'!U47</f>
        <v>3.1097108599348595</v>
      </c>
      <c r="I71" s="81">
        <f>'r-in'!V47</f>
        <v>4922.9622272255356</v>
      </c>
      <c r="J71" s="162">
        <f>'r-in'!W47</f>
        <v>2.2630226799251156</v>
      </c>
      <c r="K71" s="81">
        <f>'r-in'!X47</f>
        <v>4892037.0385895502</v>
      </c>
      <c r="L71" s="162">
        <f>'r-in'!Y47</f>
        <v>0.84964825467623206</v>
      </c>
      <c r="M71" s="81">
        <f>'r-in'!Z47</f>
        <v>3214.8416930079352</v>
      </c>
      <c r="N71" s="162">
        <f>'r-in'!AA47</f>
        <v>6.5122697291859151</v>
      </c>
      <c r="O71" s="81">
        <f>'r-in'!AB47</f>
        <v>1053501.7471971626</v>
      </c>
      <c r="P71" s="162">
        <f>'r-in'!AC47</f>
        <v>0.861339456425807</v>
      </c>
      <c r="Q71" s="108">
        <f>'r-in'!AD47</f>
        <v>4816616.2513953736</v>
      </c>
      <c r="R71" s="162">
        <f>'r-in'!AE47</f>
        <v>0.86186197896223093</v>
      </c>
      <c r="S71" s="157">
        <f>'r-in'!AF47</f>
        <v>4.5499242744816142</v>
      </c>
      <c r="T71" s="157">
        <f>'r-in'!AG47</f>
        <v>1.8204786808839368E-2</v>
      </c>
      <c r="U71" s="157">
        <f>'r-in'!AH47</f>
        <v>4.5720191055065085</v>
      </c>
      <c r="V71" s="157">
        <f>'r-in'!AI47</f>
        <v>2.1736770944950731E-2</v>
      </c>
      <c r="W71" s="158">
        <v>206</v>
      </c>
      <c r="X71" s="762">
        <f t="shared" si="32"/>
        <v>0.88294287329577037</v>
      </c>
      <c r="Y71" s="387">
        <f t="shared" si="40"/>
        <v>4.0368316857790747</v>
      </c>
      <c r="Z71" s="387">
        <f t="shared" si="41"/>
        <v>1.8204786808839368E-2</v>
      </c>
      <c r="AA71" s="473">
        <f t="shared" si="48"/>
        <v>-4.3577048269639596</v>
      </c>
      <c r="AB71" s="478">
        <f t="shared" si="49"/>
        <v>0.1812545572148494</v>
      </c>
      <c r="AC71" s="108">
        <v>1</v>
      </c>
      <c r="AD71" s="159">
        <f t="shared" si="35"/>
        <v>8.3225607879347491E-2</v>
      </c>
      <c r="AE71" s="160">
        <v>285</v>
      </c>
      <c r="AF71" s="160">
        <v>14</v>
      </c>
      <c r="AG71" s="160">
        <v>2.1</v>
      </c>
      <c r="AH71" s="718">
        <f t="shared" si="42"/>
        <v>1.8531656739597562</v>
      </c>
      <c r="AI71" s="86">
        <f t="shared" si="50"/>
        <v>1498.243680822975</v>
      </c>
      <c r="AJ71" s="86"/>
      <c r="AK71" s="86"/>
      <c r="AL71" s="86"/>
      <c r="AM71" s="86"/>
      <c r="AU71" s="14"/>
      <c r="BA71" s="472"/>
    </row>
    <row r="72" spans="1:68" x14ac:dyDescent="0.2">
      <c r="A72" s="781" t="str">
        <f>'r-in'!A48</f>
        <v>255_C</v>
      </c>
      <c r="B72" s="691" t="s">
        <v>917</v>
      </c>
      <c r="C72" s="162">
        <f>'r-in'!P48</f>
        <v>5285.5492896851756</v>
      </c>
      <c r="D72" s="162">
        <f>'r-in'!Q48</f>
        <v>3.7838031655616127</v>
      </c>
      <c r="E72" s="81">
        <f>'r-in'!R48</f>
        <v>1124953.8992884255</v>
      </c>
      <c r="F72" s="162">
        <f>'r-in'!S48</f>
        <v>0.62603187318060682</v>
      </c>
      <c r="G72" s="81">
        <f>'r-in'!T48</f>
        <v>4628.1854017570477</v>
      </c>
      <c r="H72" s="162">
        <f>'r-in'!U48</f>
        <v>3.7863959673799981</v>
      </c>
      <c r="I72" s="81">
        <f>'r-in'!V48</f>
        <v>4984.9242875611644</v>
      </c>
      <c r="J72" s="162">
        <f>'r-in'!W48</f>
        <v>2.6147120210544044</v>
      </c>
      <c r="K72" s="81">
        <f>'r-in'!X48</f>
        <v>5041281.3725691857</v>
      </c>
      <c r="L72" s="162">
        <f>'r-in'!Y48</f>
        <v>0.63823106522708895</v>
      </c>
      <c r="M72" s="81">
        <f>'r-in'!Z48</f>
        <v>4243.2866570569613</v>
      </c>
      <c r="N72" s="162">
        <f>'r-in'!AA48</f>
        <v>5.3393903937966085</v>
      </c>
      <c r="O72" s="81">
        <f>'r-in'!AB48</f>
        <v>1086110.0953983578</v>
      </c>
      <c r="P72" s="162">
        <f>'r-in'!AC48</f>
        <v>0.64579442273471244</v>
      </c>
      <c r="Q72" s="108">
        <f>'r-in'!AD48</f>
        <v>4962856.6517725065</v>
      </c>
      <c r="R72" s="162">
        <f>'r-in'!AE48</f>
        <v>0.64769387314875326</v>
      </c>
      <c r="S72" s="157">
        <f>'r-in'!AF48</f>
        <v>4.549482641282391</v>
      </c>
      <c r="T72" s="157">
        <f>'r-in'!AG48</f>
        <v>1.738631880377587E-2</v>
      </c>
      <c r="U72" s="157">
        <f>'r-in'!AH48</f>
        <v>4.5693596384368442</v>
      </c>
      <c r="V72" s="157">
        <f>'r-in'!AI48</f>
        <v>1.4634886925321128E-2</v>
      </c>
      <c r="W72" s="158">
        <v>255</v>
      </c>
      <c r="X72" s="762">
        <f t="shared" si="32"/>
        <v>0.88337334337709961</v>
      </c>
      <c r="Y72" s="387">
        <f t="shared" si="40"/>
        <v>4.0364505008983302</v>
      </c>
      <c r="Z72" s="387">
        <f t="shared" si="41"/>
        <v>1.738631880377587E-2</v>
      </c>
      <c r="AA72" s="473">
        <f t="shared" si="48"/>
        <v>-4.451720089202027</v>
      </c>
      <c r="AB72" s="478">
        <f t="shared" si="49"/>
        <v>0.17308919779068788</v>
      </c>
      <c r="AC72" s="108">
        <v>1</v>
      </c>
      <c r="AD72" s="159">
        <f t="shared" si="35"/>
        <v>8.3225607879347491E-2</v>
      </c>
      <c r="AE72" s="160">
        <v>285</v>
      </c>
      <c r="AF72" s="160">
        <v>14</v>
      </c>
      <c r="AG72" s="160">
        <v>2.1</v>
      </c>
      <c r="AH72" s="718">
        <f t="shared" si="42"/>
        <v>1.9832929003072246</v>
      </c>
      <c r="AI72" s="86">
        <f t="shared" si="50"/>
        <v>1169.5784548326087</v>
      </c>
      <c r="AJ72" s="86"/>
      <c r="AK72" s="86"/>
      <c r="AL72" s="86"/>
      <c r="AM72" s="86"/>
      <c r="AO72" s="81"/>
      <c r="AQ72" s="568"/>
      <c r="AR72" s="568"/>
      <c r="AS72" s="576"/>
      <c r="AT72" s="660"/>
      <c r="AU72" s="576"/>
      <c r="AV72" s="736"/>
      <c r="AW72" s="568"/>
      <c r="AX72" s="720"/>
      <c r="AY72" s="475"/>
      <c r="AZ72" s="475"/>
      <c r="BA72" s="475"/>
      <c r="BB72" s="475"/>
      <c r="BC72" s="475"/>
      <c r="BD72" s="552" t="s">
        <v>541</v>
      </c>
      <c r="BE72" s="553">
        <v>6</v>
      </c>
      <c r="BF72" s="554">
        <v>-5.84</v>
      </c>
      <c r="BG72" s="554">
        <v>0.13</v>
      </c>
      <c r="BH72" s="121">
        <v>3</v>
      </c>
      <c r="BI72" s="475"/>
      <c r="BJ72" s="475"/>
      <c r="BK72" s="161" t="str">
        <f t="shared" ref="BK72" si="66">B72</f>
        <v>B5</v>
      </c>
      <c r="BL72" s="9">
        <f t="shared" ref="BL72" si="67">AR72</f>
        <v>0</v>
      </c>
      <c r="BM72" s="10">
        <f t="shared" ref="BM72" si="68">BN41</f>
        <v>0</v>
      </c>
      <c r="BN72" s="475" t="e">
        <f>#REF!</f>
        <v>#REF!</v>
      </c>
      <c r="BO72" s="475" t="e">
        <f t="shared" ref="BO72" si="69">BN72/(10-1)^0.5</f>
        <v>#REF!</v>
      </c>
      <c r="BP72" s="10">
        <f t="shared" ref="BP72" si="70">BO41</f>
        <v>0</v>
      </c>
    </row>
    <row r="73" spans="1:68" ht="13" x14ac:dyDescent="0.15">
      <c r="A73" s="781" t="str">
        <f>'r-in'!A49</f>
        <v>256_C</v>
      </c>
      <c r="B73" s="691" t="s">
        <v>917</v>
      </c>
      <c r="C73" s="162">
        <f>'r-in'!P49</f>
        <v>5852.7612395369824</v>
      </c>
      <c r="D73" s="162">
        <f>'r-in'!Q49</f>
        <v>2.9096551821125973</v>
      </c>
      <c r="E73" s="81">
        <f>'r-in'!R49</f>
        <v>1132754.2815327719</v>
      </c>
      <c r="F73" s="162">
        <f>'r-in'!S49</f>
        <v>1.1021487223292921</v>
      </c>
      <c r="G73" s="81">
        <f>'r-in'!T49</f>
        <v>4527.4990668419623</v>
      </c>
      <c r="H73" s="162">
        <f>'r-in'!U49</f>
        <v>4.1902034874006482</v>
      </c>
      <c r="I73" s="81">
        <f>'r-in'!V49</f>
        <v>5246.6936553607202</v>
      </c>
      <c r="J73" s="162">
        <f>'r-in'!W49</f>
        <v>2.2557764800846321</v>
      </c>
      <c r="K73" s="81">
        <f>'r-in'!X49</f>
        <v>5079227.5448754309</v>
      </c>
      <c r="L73" s="162">
        <f>'r-in'!Y49</f>
        <v>1.1258391726817074</v>
      </c>
      <c r="M73" s="81">
        <f>'r-in'!Z49</f>
        <v>3677.0950215406415</v>
      </c>
      <c r="N73" s="162">
        <f>'r-in'!AA49</f>
        <v>7.2536058741695806</v>
      </c>
      <c r="O73" s="81">
        <f>'r-in'!AB49</f>
        <v>1094060.7786615037</v>
      </c>
      <c r="P73" s="162">
        <f>'r-in'!AC49</f>
        <v>1.1368810293686724</v>
      </c>
      <c r="Q73" s="108">
        <f>'r-in'!AD49</f>
        <v>5003727.8220883133</v>
      </c>
      <c r="R73" s="162">
        <f>'r-in'!AE49</f>
        <v>1.141247752880354</v>
      </c>
      <c r="S73" s="157">
        <f>'r-in'!AF49</f>
        <v>4.5514306963650268</v>
      </c>
      <c r="T73" s="157">
        <f>'r-in'!AG49</f>
        <v>1.6755004309032047E-2</v>
      </c>
      <c r="U73" s="157">
        <f>'r-in'!AH49</f>
        <v>4.5733959531117439</v>
      </c>
      <c r="V73" s="157">
        <f>'r-in'!AI49</f>
        <v>1.7863555382766523E-2</v>
      </c>
      <c r="W73" s="158">
        <v>256</v>
      </c>
      <c r="X73" s="762">
        <f t="shared" si="32"/>
        <v>0.88338363259383212</v>
      </c>
      <c r="Y73" s="387">
        <f t="shared" si="40"/>
        <v>4.0400631303497834</v>
      </c>
      <c r="Z73" s="387">
        <f t="shared" si="41"/>
        <v>1.6755004309032047E-2</v>
      </c>
      <c r="AA73" s="473">
        <f t="shared" si="48"/>
        <v>-3.5607028364080806</v>
      </c>
      <c r="AB73" s="478">
        <f t="shared" si="49"/>
        <v>0.16695344717665428</v>
      </c>
      <c r="AC73" s="108">
        <v>1</v>
      </c>
      <c r="AD73" s="159">
        <f t="shared" si="35"/>
        <v>8.3225607879347491E-2</v>
      </c>
      <c r="AE73" s="160">
        <v>285</v>
      </c>
      <c r="AF73" s="160">
        <v>14</v>
      </c>
      <c r="AG73" s="160">
        <v>2.1</v>
      </c>
      <c r="AH73" s="718">
        <f t="shared" si="42"/>
        <v>2.0017768621653085</v>
      </c>
      <c r="AI73" s="86">
        <f t="shared" si="50"/>
        <v>1360.7828442768484</v>
      </c>
      <c r="AJ73" s="86"/>
      <c r="AK73" s="86"/>
      <c r="AL73" s="86"/>
      <c r="AM73" s="86"/>
      <c r="AU73" s="14"/>
      <c r="BA73" s="472"/>
    </row>
    <row r="74" spans="1:68" x14ac:dyDescent="0.2">
      <c r="A74" s="781" t="str">
        <f>'r-in'!A50</f>
        <v>305_C</v>
      </c>
      <c r="B74" s="691" t="s">
        <v>917</v>
      </c>
      <c r="C74" s="162">
        <f>'r-in'!P50</f>
        <v>5190.6500799865717</v>
      </c>
      <c r="D74" s="162">
        <f>'r-in'!Q50</f>
        <v>3.4551958809410572</v>
      </c>
      <c r="E74" s="81">
        <f>'r-in'!R50</f>
        <v>1059649.2106522548</v>
      </c>
      <c r="F74" s="162">
        <f>'r-in'!S50</f>
        <v>0.73682722886247953</v>
      </c>
      <c r="G74" s="81">
        <f>'r-in'!T50</f>
        <v>4344.9631091211158</v>
      </c>
      <c r="H74" s="162">
        <f>'r-in'!U50</f>
        <v>3.6325583823080643</v>
      </c>
      <c r="I74" s="81">
        <f>'r-in'!V50</f>
        <v>4803.9013521031866</v>
      </c>
      <c r="J74" s="162">
        <f>'r-in'!W50</f>
        <v>2.6220253284439927</v>
      </c>
      <c r="K74" s="81">
        <f>'r-in'!X50</f>
        <v>4746522.6564094825</v>
      </c>
      <c r="L74" s="162">
        <f>'r-in'!Y50</f>
        <v>0.75234212193575245</v>
      </c>
      <c r="M74" s="81">
        <f>'r-in'!Z50</f>
        <v>3671.9349621616302</v>
      </c>
      <c r="N74" s="162">
        <f>'r-in'!AA50</f>
        <v>7.3126486333545992</v>
      </c>
      <c r="O74" s="81">
        <f>'r-in'!AB50</f>
        <v>1023661.8650992509</v>
      </c>
      <c r="P74" s="162">
        <f>'r-in'!AC50</f>
        <v>0.75996670356845231</v>
      </c>
      <c r="Q74" s="108">
        <f>'r-in'!AD50</f>
        <v>4675805.1467298735</v>
      </c>
      <c r="R74" s="162">
        <f>'r-in'!AE50</f>
        <v>0.76566720197808968</v>
      </c>
      <c r="S74" s="157">
        <f>'r-in'!AF50</f>
        <v>4.546683461533684</v>
      </c>
      <c r="T74" s="157">
        <f>'r-in'!AG50</f>
        <v>2.1400288690297475E-2</v>
      </c>
      <c r="U74" s="157">
        <f>'r-in'!AH50</f>
        <v>4.5675888258083779</v>
      </c>
      <c r="V74" s="157">
        <f>'r-in'!AI50</f>
        <v>2.285472065480074E-2</v>
      </c>
      <c r="W74" s="158">
        <v>305</v>
      </c>
      <c r="X74" s="762">
        <f t="shared" si="32"/>
        <v>0.88435400501915518</v>
      </c>
      <c r="Y74" s="387">
        <f t="shared" si="40"/>
        <v>4.0393654713843796</v>
      </c>
      <c r="Z74" s="387">
        <f t="shared" si="41"/>
        <v>2.1400288690297475E-2</v>
      </c>
      <c r="AA74" s="473">
        <f t="shared" si="48"/>
        <v>-3.7327731201431957</v>
      </c>
      <c r="AB74" s="478">
        <f t="shared" si="49"/>
        <v>0.2132040626789955</v>
      </c>
      <c r="AC74" s="108">
        <v>1</v>
      </c>
      <c r="AD74" s="159">
        <f t="shared" si="35"/>
        <v>8.3225607879347491E-2</v>
      </c>
      <c r="AE74" s="160">
        <v>285</v>
      </c>
      <c r="AF74" s="160">
        <v>14</v>
      </c>
      <c r="AG74" s="160">
        <v>2.1</v>
      </c>
      <c r="AH74" s="718">
        <f t="shared" si="42"/>
        <v>2.0209061123016645</v>
      </c>
      <c r="AI74" s="86">
        <f t="shared" si="50"/>
        <v>1273.3899687529529</v>
      </c>
      <c r="AJ74" s="86"/>
      <c r="AK74" s="86"/>
      <c r="AL74" s="86"/>
      <c r="AM74" s="86"/>
      <c r="AO74" s="81"/>
      <c r="AQ74" s="568"/>
      <c r="AR74" s="568"/>
      <c r="AS74" s="576"/>
      <c r="AT74" s="660"/>
      <c r="AU74" s="576"/>
      <c r="AV74" s="736"/>
      <c r="AW74" s="568"/>
      <c r="AX74" s="720"/>
      <c r="AY74" s="475"/>
      <c r="AZ74" s="475"/>
      <c r="BA74" s="475"/>
      <c r="BB74" s="475"/>
      <c r="BC74" s="475"/>
      <c r="BD74" s="552" t="s">
        <v>542</v>
      </c>
      <c r="BE74" s="553">
        <v>6</v>
      </c>
      <c r="BF74" s="554">
        <v>-5.84</v>
      </c>
      <c r="BG74" s="554">
        <v>0.13</v>
      </c>
      <c r="BH74" s="121">
        <v>3</v>
      </c>
      <c r="BI74" s="475"/>
      <c r="BJ74" s="475"/>
      <c r="BK74" s="161" t="str">
        <f t="shared" ref="BK74" si="71">B74</f>
        <v>B5</v>
      </c>
      <c r="BL74" s="9">
        <f t="shared" ref="BL74" si="72">AR74</f>
        <v>0</v>
      </c>
      <c r="BM74" s="10">
        <f t="shared" ref="BM74" si="73">BN43</f>
        <v>0</v>
      </c>
      <c r="BN74" s="475" t="e">
        <f>#REF!</f>
        <v>#REF!</v>
      </c>
      <c r="BO74" s="475" t="e">
        <f t="shared" ref="BO74" si="74">BN74/(10-1)^0.5</f>
        <v>#REF!</v>
      </c>
      <c r="BP74" s="10">
        <f t="shared" ref="BP74" si="75">BO43</f>
        <v>0</v>
      </c>
    </row>
    <row r="75" spans="1:68" ht="13" x14ac:dyDescent="0.15">
      <c r="A75" s="781" t="str">
        <f>'r-in'!A51</f>
        <v>306_C</v>
      </c>
      <c r="B75" s="691" t="s">
        <v>917</v>
      </c>
      <c r="C75" s="162">
        <f>'r-in'!P51</f>
        <v>5159.7740537115933</v>
      </c>
      <c r="D75" s="162">
        <f>'r-in'!Q51</f>
        <v>3.4903524381698023</v>
      </c>
      <c r="E75" s="81">
        <f>'r-in'!R51</f>
        <v>1144553.0706906402</v>
      </c>
      <c r="F75" s="162">
        <f>'r-in'!S51</f>
        <v>0.97617067936421209</v>
      </c>
      <c r="G75" s="81">
        <f>'r-in'!T51</f>
        <v>4297.1947745110037</v>
      </c>
      <c r="H75" s="162">
        <f>'r-in'!U51</f>
        <v>3.2563527000664387</v>
      </c>
      <c r="I75" s="81">
        <f>'r-in'!V51</f>
        <v>4765.3001521118158</v>
      </c>
      <c r="J75" s="162">
        <f>'r-in'!W51</f>
        <v>2.4107594008302065</v>
      </c>
      <c r="K75" s="81">
        <f>'r-in'!X51</f>
        <v>5135008.6046057055</v>
      </c>
      <c r="L75" s="162">
        <f>'r-in'!Y51</f>
        <v>0.99467075074215638</v>
      </c>
      <c r="M75" s="81">
        <f>'r-in'!Z51</f>
        <v>3414.7183925644554</v>
      </c>
      <c r="N75" s="162">
        <f>'r-in'!AA51</f>
        <v>6.5204447935395491</v>
      </c>
      <c r="O75" s="81">
        <f>'r-in'!AB51</f>
        <v>1109022.2181520485</v>
      </c>
      <c r="P75" s="162">
        <f>'r-in'!AC51</f>
        <v>1.0052648192936902</v>
      </c>
      <c r="Q75" s="108">
        <f>'r-in'!AD51</f>
        <v>5066514.1528008459</v>
      </c>
      <c r="R75" s="162">
        <f>'r-in'!AE51</f>
        <v>1.0083702462757618</v>
      </c>
      <c r="S75" s="157">
        <f>'r-in'!AF51</f>
        <v>4.5483061015646857</v>
      </c>
      <c r="T75" s="157">
        <f>'r-in'!AG51</f>
        <v>1.755035699069598E-2</v>
      </c>
      <c r="U75" s="157">
        <f>'r-in'!AH51</f>
        <v>4.5683435757309079</v>
      </c>
      <c r="V75" s="157">
        <f>'r-in'!AI51</f>
        <v>2.0929433178283042E-2</v>
      </c>
      <c r="W75" s="158">
        <v>306</v>
      </c>
      <c r="X75" s="762">
        <f t="shared" si="32"/>
        <v>0.88438872806029312</v>
      </c>
      <c r="Y75" s="387">
        <f t="shared" si="40"/>
        <v>4.0401915642830692</v>
      </c>
      <c r="Z75" s="387">
        <f t="shared" si="41"/>
        <v>1.755035699069598E-2</v>
      </c>
      <c r="AA75" s="473">
        <f t="shared" si="48"/>
        <v>-3.5290259506549626</v>
      </c>
      <c r="AB75" s="478">
        <f t="shared" si="49"/>
        <v>0.1748842132544004</v>
      </c>
      <c r="AC75" s="108">
        <v>1</v>
      </c>
      <c r="AD75" s="159">
        <f t="shared" si="35"/>
        <v>8.3225607879347491E-2</v>
      </c>
      <c r="AE75" s="160">
        <v>285</v>
      </c>
      <c r="AF75" s="160">
        <v>14</v>
      </c>
      <c r="AG75" s="160">
        <v>2.1</v>
      </c>
      <c r="AH75" s="718">
        <f t="shared" si="42"/>
        <v>2.1946124466758148</v>
      </c>
      <c r="AI75" s="86">
        <f t="shared" si="50"/>
        <v>1483.7282523306089</v>
      </c>
      <c r="AJ75" s="86"/>
      <c r="AK75" s="86"/>
      <c r="AL75" s="86"/>
      <c r="AM75" s="86"/>
      <c r="AU75" s="14"/>
      <c r="BA75" s="472"/>
    </row>
    <row r="76" spans="1:68" ht="13" x14ac:dyDescent="0.15">
      <c r="A76" s="18"/>
      <c r="B76" s="153"/>
      <c r="C76" s="153"/>
      <c r="D76" s="81"/>
      <c r="E76" s="81"/>
      <c r="F76" s="81"/>
      <c r="G76" s="81"/>
      <c r="H76" s="155"/>
      <c r="I76" s="81"/>
      <c r="J76" s="156"/>
      <c r="K76" s="81"/>
      <c r="L76" s="156"/>
      <c r="M76" s="81"/>
      <c r="N76" s="156"/>
      <c r="O76" s="81"/>
      <c r="P76" s="156"/>
      <c r="Q76" s="81"/>
      <c r="R76" s="156"/>
      <c r="S76" s="157"/>
      <c r="T76" s="157"/>
      <c r="U76" s="157"/>
      <c r="V76" s="156"/>
      <c r="Y76" s="582">
        <f>AGaverage(Y62:Y75)</f>
        <v>4.0353867154593805</v>
      </c>
      <c r="Z76" s="583">
        <f>ExcsScatter(Y62:Z75)</f>
        <v>8.0280872642079643E-2</v>
      </c>
      <c r="AA76" s="81"/>
      <c r="AB76" s="81"/>
      <c r="AC76" s="81"/>
      <c r="AD76" s="81"/>
      <c r="AE76" s="81"/>
      <c r="AF76" s="81"/>
      <c r="AG76" s="81"/>
      <c r="AH76" s="81"/>
      <c r="AU76" s="14"/>
    </row>
    <row r="77" spans="1:68" ht="13" x14ac:dyDescent="0.15">
      <c r="A77" s="18"/>
      <c r="B77" s="153"/>
      <c r="C77" s="153"/>
      <c r="D77" s="81"/>
      <c r="E77" s="81"/>
      <c r="F77" s="81"/>
      <c r="G77" s="81"/>
      <c r="H77" s="155"/>
      <c r="I77" s="81"/>
      <c r="J77" s="156"/>
      <c r="K77" s="81"/>
      <c r="L77" s="156"/>
      <c r="M77" s="81"/>
      <c r="N77" s="156"/>
      <c r="O77" s="81"/>
      <c r="P77" s="156"/>
      <c r="Q77" s="81"/>
      <c r="R77" s="156"/>
      <c r="S77" s="445">
        <f>AGaverage(S62:S76)</f>
        <v>4.5528334242459891</v>
      </c>
      <c r="T77" s="161"/>
      <c r="U77" s="445">
        <f>AGaverage(U62:U76)</f>
        <v>4.5744727751738177</v>
      </c>
      <c r="V77" s="156"/>
      <c r="Y77" s="12">
        <f>AGstdv(Y62:Y75, TRUE)</f>
        <v>8.384346172324772E-2</v>
      </c>
      <c r="Z77" s="81"/>
      <c r="AA77" s="455">
        <f>AGaverage(AA62:AA75)</f>
        <v>-4.7140916366059189</v>
      </c>
      <c r="AB77" s="455"/>
      <c r="AC77" s="81"/>
      <c r="AD77" s="81"/>
      <c r="AE77" s="81"/>
      <c r="AF77" s="81"/>
      <c r="AG77" s="81"/>
      <c r="AH77" s="81"/>
      <c r="AU77" s="14"/>
    </row>
    <row r="78" spans="1:68" ht="13" x14ac:dyDescent="0.15">
      <c r="A78" s="18"/>
      <c r="B78" s="153"/>
      <c r="C78" s="153"/>
      <c r="D78" s="81"/>
      <c r="E78" s="81"/>
      <c r="F78" s="81"/>
      <c r="G78" s="81"/>
      <c r="H78" s="155"/>
      <c r="I78" s="81"/>
      <c r="J78" s="156"/>
      <c r="K78" s="81"/>
      <c r="L78" s="156"/>
      <c r="M78" s="81"/>
      <c r="N78" s="156"/>
      <c r="O78" s="81"/>
      <c r="P78" s="156"/>
      <c r="Q78" s="81"/>
      <c r="R78" s="156"/>
      <c r="S78" s="12">
        <f>AGstdv(S62:S76, TRUE)</f>
        <v>9.4200910654556505E-2</v>
      </c>
      <c r="T78" s="161"/>
      <c r="U78" s="12">
        <f>AGstdv(U62:U76, TRUE)</f>
        <v>9.504797002212155E-2</v>
      </c>
      <c r="V78" s="156"/>
      <c r="Y78" s="19"/>
      <c r="AA78" s="471">
        <f>STDEV(AA62:AA75)/(COUNT(AA62:AA75)-1)^0.5</f>
        <v>0.23144370884253979</v>
      </c>
      <c r="AB78" s="471"/>
      <c r="AC78" s="81"/>
      <c r="AD78" s="81"/>
      <c r="AE78" s="81"/>
      <c r="AF78" s="81"/>
      <c r="AG78" s="81"/>
      <c r="AH78" s="81"/>
      <c r="AU78" s="14"/>
    </row>
    <row r="79" spans="1:68" ht="13" x14ac:dyDescent="0.15">
      <c r="A79" s="18"/>
      <c r="B79" s="153"/>
      <c r="C79" s="153"/>
      <c r="D79" s="81"/>
      <c r="E79" s="81"/>
      <c r="F79" s="81"/>
      <c r="G79" s="81"/>
      <c r="H79" s="155"/>
      <c r="I79" s="81"/>
      <c r="J79" s="156"/>
      <c r="K79" s="81"/>
      <c r="L79" s="156"/>
      <c r="M79" s="81"/>
      <c r="N79" s="156"/>
      <c r="O79" s="81"/>
      <c r="P79" s="156"/>
      <c r="Q79" s="81"/>
      <c r="R79" s="156"/>
      <c r="S79" s="156"/>
      <c r="T79" s="156"/>
      <c r="U79" s="156"/>
      <c r="V79" s="156"/>
      <c r="Y79" s="19"/>
      <c r="AC79" s="81"/>
      <c r="AD79" s="81"/>
      <c r="AE79" s="81"/>
      <c r="AF79" s="81"/>
      <c r="AG79" s="81"/>
      <c r="AH79" s="81"/>
      <c r="AU79" s="14"/>
    </row>
    <row r="80" spans="1:68" ht="13" x14ac:dyDescent="0.15">
      <c r="A80" s="237"/>
      <c r="B80" s="153"/>
      <c r="C80" s="153"/>
      <c r="H80" s="257"/>
      <c r="Y80" s="164"/>
      <c r="AC80" s="14"/>
      <c r="AU80" s="14"/>
    </row>
    <row r="81" spans="1:50" s="204" customFormat="1" ht="14" x14ac:dyDescent="0.15">
      <c r="A81" s="16" t="s">
        <v>406</v>
      </c>
      <c r="B81" s="254"/>
      <c r="C81" s="254"/>
      <c r="E81" s="613"/>
      <c r="G81" s="613"/>
      <c r="H81" s="256"/>
      <c r="I81" s="613"/>
      <c r="K81" s="613"/>
      <c r="M81" s="613"/>
      <c r="O81" s="613"/>
      <c r="Q81" s="613"/>
      <c r="X81" s="205"/>
      <c r="Y81" s="697"/>
      <c r="AE81" s="656" t="s">
        <v>581</v>
      </c>
      <c r="AF81" s="656" t="s">
        <v>563</v>
      </c>
      <c r="AG81" s="656"/>
      <c r="AJ81" s="680"/>
      <c r="AK81" s="680"/>
      <c r="AL81" s="680"/>
      <c r="AM81" s="680"/>
      <c r="AT81" s="657"/>
      <c r="AW81" s="607"/>
    </row>
    <row r="82" spans="1:50" ht="13" x14ac:dyDescent="0.15">
      <c r="A82" s="781" t="str">
        <f>'r-in'!A54</f>
        <v>007_D</v>
      </c>
      <c r="B82" s="153" t="s">
        <v>1136</v>
      </c>
      <c r="C82" s="162">
        <f>'r-in'!P54</f>
        <v>7328.0979771507973</v>
      </c>
      <c r="D82" s="162">
        <f>'r-in'!Q54</f>
        <v>2.4113798709309693</v>
      </c>
      <c r="E82" s="81">
        <f>'r-in'!R54</f>
        <v>533901.78941429616</v>
      </c>
      <c r="F82" s="162">
        <f>'r-in'!S54</f>
        <v>0.20761336960924029</v>
      </c>
      <c r="G82" s="81">
        <f>'r-in'!T54</f>
        <v>5574.4089428424304</v>
      </c>
      <c r="H82" s="162">
        <f>'r-in'!U54</f>
        <v>3.3691057149225911</v>
      </c>
      <c r="I82" s="81">
        <f>'r-in'!V54</f>
        <v>6526.1026449681231</v>
      </c>
      <c r="J82" s="162">
        <f>'r-in'!W54</f>
        <v>1.9598846413772706</v>
      </c>
      <c r="K82" s="81">
        <f>'r-in'!X54</f>
        <v>2325894.7431099573</v>
      </c>
      <c r="L82" s="162">
        <f>'r-in'!Y54</f>
        <v>0.21334995556908315</v>
      </c>
      <c r="M82" s="81">
        <f>'r-in'!Z54</f>
        <v>4103.6520323659897</v>
      </c>
      <c r="N82" s="162">
        <f>'r-in'!AA54</f>
        <v>5.7465631357310105</v>
      </c>
      <c r="O82" s="81">
        <f>'r-in'!AB54</f>
        <v>487840.31232364732</v>
      </c>
      <c r="P82" s="162">
        <f>'r-in'!AC54</f>
        <v>0.22571586750597189</v>
      </c>
      <c r="Q82" s="108">
        <f>'r-in'!AD54</f>
        <v>2234977.3992754491</v>
      </c>
      <c r="R82" s="162">
        <f>'r-in'!AE54</f>
        <v>0.22119231274085924</v>
      </c>
      <c r="S82" s="157">
        <f>'r-in'!AF54</f>
        <v>4.5189492555663309</v>
      </c>
      <c r="T82" s="157">
        <f>'r-in'!AG54</f>
        <v>3.5746353917983004E-2</v>
      </c>
      <c r="U82" s="157">
        <f>'r-in'!AH54</f>
        <v>4.5814403506402304</v>
      </c>
      <c r="V82" s="157">
        <f>'r-in'!AI54</f>
        <v>3.9181823613551832E-2</v>
      </c>
      <c r="W82" s="158">
        <v>7</v>
      </c>
      <c r="X82" s="762">
        <f t="shared" ref="X82:X95" si="76">$X$61 * Tb1Prim11B10B/($L$31 + $M$31*Tb1Order + IF($K$31&gt; 1,$N$31*Tb1Order^2) + IF($K$31&gt; 2,$O$31*Tb1Order^3) + IF($K$31&gt; 3,$P$31*Tb1Order^4) + IF($K$31&gt; 4,$Q$31*Tb1Order^5) + IF($K$31&gt; 5,$R$31*Tb1Order^6))</f>
        <v>0.88084480272119603</v>
      </c>
      <c r="Y82" s="387">
        <f t="shared" ref="Y82:Y83" si="77">U82*X82</f>
        <v>4.0355379218386211</v>
      </c>
      <c r="Z82" s="640">
        <f>V82</f>
        <v>3.9181823613551832E-2</v>
      </c>
      <c r="AA82" s="473">
        <f t="shared" ref="AA82" si="78">((Y82/AZ$29)-1)*1000</f>
        <v>-4.6767981653419444</v>
      </c>
      <c r="AB82" s="478">
        <f t="shared" ref="AB82" si="79">AA82-(((Y82-(Y82/100*Z82))/AZ$29)-1)*1000</f>
        <v>0.3899857813275398</v>
      </c>
      <c r="AC82" s="108">
        <v>1</v>
      </c>
      <c r="AD82" s="159">
        <f>($AQ$27*$AE$3^2)/ ($AE$81*Tb1SpotSize^2)/$AD$127</f>
        <v>8.3225607879347491E-2</v>
      </c>
      <c r="AE82" s="160">
        <v>285</v>
      </c>
      <c r="AF82" s="160">
        <v>14</v>
      </c>
      <c r="AG82" s="160">
        <v>2.1</v>
      </c>
      <c r="AH82" s="785">
        <f t="shared" ref="AH82:AH83" si="80">Q82*AD82*$AH$18 /($L$33 + $M$33*Tb1Order + IF($K$33&gt; 1,$N$33*Tb1Order^2) + IF($K$33&gt; 2,$O$33*Tb1Order^3) + IF($K$33&gt; 3,$P$33*Tb1Order^4) + IF($K$33&gt; 4,$Q$33*Tb1Order^5) + IF($K$33&gt; 5,$R$33*Tb1Order^6))</f>
        <v>0.6848271174881011</v>
      </c>
      <c r="AI82" s="86">
        <f>Q82/M82</f>
        <v>544.63131416794545</v>
      </c>
      <c r="AJ82" s="86"/>
      <c r="AK82" s="86"/>
      <c r="AL82" s="86"/>
      <c r="AM82" s="86"/>
      <c r="AO82" s="81"/>
      <c r="AQ82" s="568"/>
      <c r="AR82" s="568"/>
      <c r="AS82" s="576"/>
      <c r="AT82" s="660"/>
      <c r="AU82" s="576"/>
      <c r="AV82" s="736"/>
      <c r="AW82" s="568"/>
      <c r="AX82" s="720"/>
    </row>
    <row r="83" spans="1:50" ht="13" x14ac:dyDescent="0.15">
      <c r="A83" s="781" t="str">
        <f>'r-in'!A55</f>
        <v>008_D</v>
      </c>
      <c r="B83" s="153" t="s">
        <v>1136</v>
      </c>
      <c r="C83" s="162">
        <f>'r-in'!P55</f>
        <v>7460.0471012440948</v>
      </c>
      <c r="D83" s="162">
        <f>'r-in'!Q55</f>
        <v>2.2769985126559109</v>
      </c>
      <c r="E83" s="81">
        <f>'r-in'!R55</f>
        <v>535193.08630337426</v>
      </c>
      <c r="F83" s="162">
        <f>'r-in'!S55</f>
        <v>0.20226236980479168</v>
      </c>
      <c r="G83" s="81">
        <f>'r-in'!T55</f>
        <v>5784.4750414206173</v>
      </c>
      <c r="H83" s="162">
        <f>'r-in'!U55</f>
        <v>2.8721821914504915</v>
      </c>
      <c r="I83" s="81">
        <f>'r-in'!V55</f>
        <v>6693.776146459848</v>
      </c>
      <c r="J83" s="162">
        <f>'r-in'!W55</f>
        <v>1.8815918656380155</v>
      </c>
      <c r="K83" s="81">
        <f>'r-in'!X55</f>
        <v>2330404.393110624</v>
      </c>
      <c r="L83" s="162">
        <f>'r-in'!Y55</f>
        <v>0.20146364492896252</v>
      </c>
      <c r="M83" s="81">
        <f>'r-in'!Z55</f>
        <v>4825.6076732210731</v>
      </c>
      <c r="N83" s="162">
        <f>'r-in'!AA55</f>
        <v>4.8120007426849494</v>
      </c>
      <c r="O83" s="81">
        <f>'r-in'!AB55</f>
        <v>489443.23868450709</v>
      </c>
      <c r="P83" s="162">
        <f>'r-in'!AC55</f>
        <v>0.21421531871835017</v>
      </c>
      <c r="Q83" s="108">
        <f>'r-in'!AD55</f>
        <v>2240326.3367469679</v>
      </c>
      <c r="R83" s="162">
        <f>'r-in'!AE55</f>
        <v>0.20873814218212633</v>
      </c>
      <c r="S83" s="157">
        <f>'r-in'!AF55</f>
        <v>4.5137035710183238</v>
      </c>
      <c r="T83" s="157">
        <f>'r-in'!AG55</f>
        <v>2.860757552557646E-2</v>
      </c>
      <c r="U83" s="157">
        <f>'r-in'!AH55</f>
        <v>4.5773608254442264</v>
      </c>
      <c r="V83" s="157">
        <f>'r-in'!AI55</f>
        <v>3.6369811301962374E-2</v>
      </c>
      <c r="W83" s="158">
        <v>8</v>
      </c>
      <c r="X83" s="762">
        <f t="shared" si="76"/>
        <v>0.88080471511462366</v>
      </c>
      <c r="Y83" s="387">
        <f t="shared" si="77"/>
        <v>4.0317609978322402</v>
      </c>
      <c r="Z83" s="640">
        <f t="shared" ref="Z83:Z84" si="81">V83</f>
        <v>3.6369811301962374E-2</v>
      </c>
      <c r="AA83" s="473">
        <f t="shared" ref="AA83:AA84" si="82">((Y83/AZ$29)-1)*1000</f>
        <v>-5.6083369509828396</v>
      </c>
      <c r="AB83" s="478">
        <f t="shared" ref="AB83:AB84" si="83">AA83-(((Y83-(Y83/100*Z83))/AZ$29)-1)*1000</f>
        <v>0.36165837145341051</v>
      </c>
      <c r="AC83" s="108">
        <v>1</v>
      </c>
      <c r="AD83" s="159">
        <f t="shared" ref="AD83:AD95" si="84">($AQ$27*$AE$3^2)/ ($AE$81*Tb1SpotSize^2)/$AD$127</f>
        <v>8.3225607879347491E-2</v>
      </c>
      <c r="AE83" s="160">
        <v>285</v>
      </c>
      <c r="AF83" s="160">
        <v>14</v>
      </c>
      <c r="AG83" s="160">
        <v>2.1</v>
      </c>
      <c r="AH83" s="785">
        <f t="shared" si="80"/>
        <v>0.68821815388572982</v>
      </c>
      <c r="AI83" s="86">
        <f t="shared" ref="AI83:AI84" si="85">Q83/M83</f>
        <v>464.25786936208993</v>
      </c>
      <c r="AJ83" s="86"/>
      <c r="AK83" s="86"/>
      <c r="AL83" s="86"/>
      <c r="AM83" s="86"/>
      <c r="AU83" s="14"/>
    </row>
    <row r="84" spans="1:50" ht="13" x14ac:dyDescent="0.15">
      <c r="A84" s="781" t="str">
        <f>'r-in'!A56</f>
        <v>057_D</v>
      </c>
      <c r="B84" s="153" t="s">
        <v>1136</v>
      </c>
      <c r="C84" s="162">
        <f>'r-in'!P56</f>
        <v>6535.8718477373814</v>
      </c>
      <c r="D84" s="162">
        <f>'r-in'!Q56</f>
        <v>2.8108679806399204</v>
      </c>
      <c r="E84" s="81">
        <f>'r-in'!R56</f>
        <v>527745.88903922448</v>
      </c>
      <c r="F84" s="162">
        <f>'r-in'!S56</f>
        <v>0.25184911402713123</v>
      </c>
      <c r="G84" s="81">
        <f>'r-in'!T56</f>
        <v>4845.1583213515414</v>
      </c>
      <c r="H84" s="162">
        <f>'r-in'!U56</f>
        <v>3.0334700033385271</v>
      </c>
      <c r="I84" s="81">
        <f>'r-in'!V56</f>
        <v>5762.6764124620995</v>
      </c>
      <c r="J84" s="162">
        <f>'r-in'!W56</f>
        <v>2.0299551075369227</v>
      </c>
      <c r="K84" s="81">
        <f>'r-in'!X56</f>
        <v>2303233.8641370032</v>
      </c>
      <c r="L84" s="162">
        <f>'r-in'!Y56</f>
        <v>0.25775592098012012</v>
      </c>
      <c r="M84" s="81">
        <f>'r-in'!Z56</f>
        <v>4151.1562462989741</v>
      </c>
      <c r="N84" s="162">
        <f>'r-in'!AA56</f>
        <v>6.128101501206185</v>
      </c>
      <c r="O84" s="81">
        <f>'r-in'!AB56</f>
        <v>483647.06578741217</v>
      </c>
      <c r="P84" s="162">
        <f>'r-in'!AC56</f>
        <v>0.26800086505844045</v>
      </c>
      <c r="Q84" s="108">
        <f>'r-in'!AD56</f>
        <v>2216898.9544416261</v>
      </c>
      <c r="R84" s="162">
        <f>'r-in'!AE56</f>
        <v>0.26946139749694625</v>
      </c>
      <c r="S84" s="157">
        <f>'r-in'!AF56</f>
        <v>4.531051373392172</v>
      </c>
      <c r="T84" s="157">
        <f>'r-in'!AG56</f>
        <v>3.602902360627553E-2</v>
      </c>
      <c r="U84" s="157">
        <f>'r-in'!AH56</f>
        <v>4.5837314277957653</v>
      </c>
      <c r="V84" s="157">
        <f>'r-in'!AI56</f>
        <v>4.0838243913297295E-2</v>
      </c>
      <c r="W84" s="158">
        <v>57</v>
      </c>
      <c r="X84" s="762">
        <f t="shared" si="76"/>
        <v>0.88020870275878815</v>
      </c>
      <c r="Y84" s="387">
        <f t="shared" ref="Y84:Y95" si="86">U84*X84</f>
        <v>4.0346402938547987</v>
      </c>
      <c r="Z84" s="640">
        <f t="shared" si="81"/>
        <v>4.0838243913297295E-2</v>
      </c>
      <c r="AA84" s="473">
        <f t="shared" si="82"/>
        <v>-4.8981887150576497</v>
      </c>
      <c r="AB84" s="478">
        <f t="shared" si="83"/>
        <v>0.40638210487820015</v>
      </c>
      <c r="AC84" s="108">
        <v>1</v>
      </c>
      <c r="AD84" s="159">
        <f t="shared" si="84"/>
        <v>8.3225607879347491E-2</v>
      </c>
      <c r="AE84" s="160">
        <v>285</v>
      </c>
      <c r="AF84" s="160">
        <v>14</v>
      </c>
      <c r="AG84" s="160">
        <v>2.1</v>
      </c>
      <c r="AH84" s="785">
        <f t="shared" ref="AH84:AH95" si="87">Q84*AD84*$AH$18 /($L$33 + $M$33*Tb1Order + IF($K$33&gt; 1,$N$33*Tb1Order^2) + IF($K$33&gt; 2,$O$33*Tb1Order^3) + IF($K$33&gt; 3,$P$33*Tb1Order^4) + IF($K$33&gt; 4,$Q$33*Tb1Order^5) + IF($K$33&gt; 5,$R$33*Tb1Order^6))</f>
        <v>0.75440451314942236</v>
      </c>
      <c r="AI84" s="86">
        <f t="shared" si="85"/>
        <v>534.04372731528372</v>
      </c>
      <c r="AJ84" s="86"/>
      <c r="AK84" s="86"/>
      <c r="AL84" s="86"/>
      <c r="AM84" s="86"/>
      <c r="AO84" s="81"/>
      <c r="AQ84" s="568"/>
      <c r="AR84" s="568"/>
      <c r="AS84" s="576"/>
      <c r="AT84" s="660"/>
      <c r="AU84" s="576"/>
      <c r="AV84" s="736"/>
      <c r="AW84" s="568"/>
      <c r="AX84" s="720"/>
    </row>
    <row r="85" spans="1:50" ht="13" x14ac:dyDescent="0.15">
      <c r="A85" s="781" t="str">
        <f>'r-in'!A57</f>
        <v>058_D</v>
      </c>
      <c r="B85" s="153" t="s">
        <v>1136</v>
      </c>
      <c r="C85" s="162">
        <f>'r-in'!P57</f>
        <v>6661.6416515019209</v>
      </c>
      <c r="D85" s="162">
        <f>'r-in'!Q57</f>
        <v>2.3739469040712691</v>
      </c>
      <c r="E85" s="81">
        <f>'r-in'!R57</f>
        <v>513288.61180782045</v>
      </c>
      <c r="F85" s="162">
        <f>'r-in'!S57</f>
        <v>0.1727414472131763</v>
      </c>
      <c r="G85" s="81">
        <f>'r-in'!T57</f>
        <v>5075.4653913606435</v>
      </c>
      <c r="H85" s="162">
        <f>'r-in'!U57</f>
        <v>3.3922556327668887</v>
      </c>
      <c r="I85" s="81">
        <f>'r-in'!V57</f>
        <v>5936.2530952839288</v>
      </c>
      <c r="J85" s="162">
        <f>'r-in'!W57</f>
        <v>1.990393427172729</v>
      </c>
      <c r="K85" s="81">
        <f>'r-in'!X57</f>
        <v>2235359.8680272279</v>
      </c>
      <c r="L85" s="162">
        <f>'r-in'!Y57</f>
        <v>0.17796995279952171</v>
      </c>
      <c r="M85" s="81">
        <f>'r-in'!Z57</f>
        <v>5260.9848423682715</v>
      </c>
      <c r="N85" s="162">
        <f>'r-in'!AA57</f>
        <v>4.3983278133756682</v>
      </c>
      <c r="O85" s="81">
        <f>'r-in'!AB57</f>
        <v>469540.87236918358</v>
      </c>
      <c r="P85" s="162">
        <f>'r-in'!AC57</f>
        <v>0.18405185047981629</v>
      </c>
      <c r="Q85" s="108">
        <f>'r-in'!AD57</f>
        <v>2149344.0818002983</v>
      </c>
      <c r="R85" s="162">
        <f>'r-in'!AE57</f>
        <v>0.18482041433479082</v>
      </c>
      <c r="S85" s="157">
        <f>'r-in'!AF57</f>
        <v>4.5230033546133059</v>
      </c>
      <c r="T85" s="157">
        <f>'r-in'!AG57</f>
        <v>3.4312957534636417E-2</v>
      </c>
      <c r="U85" s="157">
        <f>'r-in'!AH57</f>
        <v>4.5775674310895749</v>
      </c>
      <c r="V85" s="157">
        <f>'r-in'!AI57</f>
        <v>3.8716391279331221E-2</v>
      </c>
      <c r="W85" s="158">
        <v>58</v>
      </c>
      <c r="X85" s="762">
        <f t="shared" si="76"/>
        <v>0.88021740786642555</v>
      </c>
      <c r="Y85" s="387">
        <f t="shared" si="86"/>
        <v>4.0292545385274385</v>
      </c>
      <c r="Z85" s="640">
        <f t="shared" ref="Z85:Z95" si="88">V85</f>
        <v>3.8716391279331221E-2</v>
      </c>
      <c r="AA85" s="473">
        <f t="shared" ref="AA85:AA95" si="89">((Y85/AZ$29)-1)*1000</f>
        <v>-6.2265289117181544</v>
      </c>
      <c r="AB85" s="478">
        <f t="shared" ref="AB85:AB95" si="90">AA85-(((Y85-(Y85/100*Z85))/AZ$29)-1)*1000</f>
        <v>0.38475322549669233</v>
      </c>
      <c r="AC85" s="108">
        <v>1</v>
      </c>
      <c r="AD85" s="159">
        <f t="shared" si="84"/>
        <v>8.3225607879347491E-2</v>
      </c>
      <c r="AE85" s="160">
        <v>285</v>
      </c>
      <c r="AF85" s="160">
        <v>14</v>
      </c>
      <c r="AG85" s="160">
        <v>2.1</v>
      </c>
      <c r="AH85" s="785">
        <f t="shared" si="87"/>
        <v>0.73261705916308695</v>
      </c>
      <c r="AI85" s="86">
        <f t="shared" ref="AI85:AI95" si="91">Q85/M85</f>
        <v>408.5440551911484</v>
      </c>
      <c r="AJ85" s="86"/>
      <c r="AK85" s="86"/>
      <c r="AL85" s="86"/>
      <c r="AM85" s="86"/>
      <c r="AU85" s="14"/>
    </row>
    <row r="86" spans="1:50" ht="13" x14ac:dyDescent="0.15">
      <c r="A86" s="781" t="str">
        <f>'r-in'!A58</f>
        <v>107_D</v>
      </c>
      <c r="B86" s="153" t="s">
        <v>1136</v>
      </c>
      <c r="C86" s="162">
        <f>'r-in'!P58</f>
        <v>7105.9978400351201</v>
      </c>
      <c r="D86" s="162">
        <f>'r-in'!Q58</f>
        <v>2.8054247231970129</v>
      </c>
      <c r="E86" s="81">
        <f>'r-in'!R58</f>
        <v>489234.78822982789</v>
      </c>
      <c r="F86" s="162">
        <f>'r-in'!S58</f>
        <v>0.19060207868529777</v>
      </c>
      <c r="G86" s="81">
        <f>'r-in'!T58</f>
        <v>5097.0781667598849</v>
      </c>
      <c r="H86" s="162">
        <f>'r-in'!U58</f>
        <v>3.7362915102053949</v>
      </c>
      <c r="I86" s="81">
        <f>'r-in'!V58</f>
        <v>6187.2806848399905</v>
      </c>
      <c r="J86" s="162">
        <f>'r-in'!W58</f>
        <v>2.0797811465456308</v>
      </c>
      <c r="K86" s="81">
        <f>'r-in'!X58</f>
        <v>2131059.9167623674</v>
      </c>
      <c r="L86" s="162">
        <f>'r-in'!Y58</f>
        <v>0.20107084054338162</v>
      </c>
      <c r="M86" s="81">
        <f>'r-in'!Z58</f>
        <v>4336.0783970025968</v>
      </c>
      <c r="N86" s="162">
        <f>'r-in'!AA58</f>
        <v>4.8756582086564064</v>
      </c>
      <c r="O86" s="81">
        <f>'r-in'!AB58</f>
        <v>447289.70183666132</v>
      </c>
      <c r="P86" s="162">
        <f>'r-in'!AC58</f>
        <v>0.20818841579005101</v>
      </c>
      <c r="Q86" s="108">
        <f>'r-in'!AD58</f>
        <v>2049996.617954423</v>
      </c>
      <c r="R86" s="162">
        <f>'r-in'!AE58</f>
        <v>0.20847797932672063</v>
      </c>
      <c r="S86" s="157">
        <f>'r-in'!AF58</f>
        <v>4.5190646849096625</v>
      </c>
      <c r="T86" s="157">
        <f>'r-in'!AG58</f>
        <v>3.9227634358016197E-2</v>
      </c>
      <c r="U86" s="157">
        <f>'r-in'!AH58</f>
        <v>4.5831804482306424</v>
      </c>
      <c r="V86" s="157">
        <f>'r-in'!AI58</f>
        <v>4.1840888681833208E-2</v>
      </c>
      <c r="W86" s="158">
        <v>107</v>
      </c>
      <c r="X86" s="762">
        <f t="shared" si="76"/>
        <v>0.88111811147252861</v>
      </c>
      <c r="Y86" s="387">
        <f t="shared" si="86"/>
        <v>4.0383233010828006</v>
      </c>
      <c r="Z86" s="640">
        <f t="shared" si="88"/>
        <v>4.1840888681833208E-2</v>
      </c>
      <c r="AA86" s="473">
        <f t="shared" si="89"/>
        <v>-3.9898135200886475</v>
      </c>
      <c r="AB86" s="478">
        <f t="shared" si="90"/>
        <v>0.41673951338483395</v>
      </c>
      <c r="AC86" s="108">
        <v>1</v>
      </c>
      <c r="AD86" s="159">
        <f t="shared" si="84"/>
        <v>8.3225607879347491E-2</v>
      </c>
      <c r="AE86" s="160">
        <v>285</v>
      </c>
      <c r="AF86" s="160">
        <v>14</v>
      </c>
      <c r="AG86" s="160">
        <v>2.1</v>
      </c>
      <c r="AH86" s="785">
        <f t="shared" si="87"/>
        <v>0.74302687050462179</v>
      </c>
      <c r="AI86" s="86">
        <f t="shared" si="91"/>
        <v>472.77664983445067</v>
      </c>
      <c r="AJ86" s="86"/>
      <c r="AK86" s="86"/>
      <c r="AL86" s="86"/>
      <c r="AM86" s="86"/>
      <c r="AO86" s="81"/>
      <c r="AQ86" s="568"/>
      <c r="AR86" s="568"/>
      <c r="AS86" s="576"/>
      <c r="AT86" s="660"/>
      <c r="AU86" s="576"/>
      <c r="AV86" s="736"/>
      <c r="AW86" s="568"/>
      <c r="AX86" s="720"/>
    </row>
    <row r="87" spans="1:50" ht="13" x14ac:dyDescent="0.15">
      <c r="A87" s="781" t="str">
        <f>'r-in'!A59</f>
        <v>108_D</v>
      </c>
      <c r="B87" s="153" t="s">
        <v>1136</v>
      </c>
      <c r="C87" s="162">
        <f>'r-in'!P59</f>
        <v>6206.2467711242989</v>
      </c>
      <c r="D87" s="162">
        <f>'r-in'!Q59</f>
        <v>2.8871430567019085</v>
      </c>
      <c r="E87" s="81">
        <f>'r-in'!R59</f>
        <v>490299.51699196344</v>
      </c>
      <c r="F87" s="162">
        <f>'r-in'!S59</f>
        <v>0.18405106394294296</v>
      </c>
      <c r="G87" s="81">
        <f>'r-in'!T59</f>
        <v>4942.6624627711981</v>
      </c>
      <c r="H87" s="162">
        <f>'r-in'!U59</f>
        <v>2.8543601782346446</v>
      </c>
      <c r="I87" s="81">
        <f>'r-in'!V59</f>
        <v>5628.3856467784271</v>
      </c>
      <c r="J87" s="162">
        <f>'r-in'!W59</f>
        <v>2.0177887351455084</v>
      </c>
      <c r="K87" s="81">
        <f>'r-in'!X59</f>
        <v>2134983.934217535</v>
      </c>
      <c r="L87" s="162">
        <f>'r-in'!Y59</f>
        <v>0.18417657768168333</v>
      </c>
      <c r="M87" s="81">
        <f>'r-in'!Z59</f>
        <v>3435.5738248209186</v>
      </c>
      <c r="N87" s="162">
        <f>'r-in'!AA59</f>
        <v>7.0089345732616728</v>
      </c>
      <c r="O87" s="81">
        <f>'r-in'!AB59</f>
        <v>448999.73789209465</v>
      </c>
      <c r="P87" s="162">
        <f>'r-in'!AC59</f>
        <v>0.19799698993587062</v>
      </c>
      <c r="Q87" s="108">
        <f>'r-in'!AD59</f>
        <v>2055425.1933207987</v>
      </c>
      <c r="R87" s="162">
        <f>'r-in'!AE59</f>
        <v>0.19217108744364994</v>
      </c>
      <c r="S87" s="157">
        <f>'r-in'!AF59</f>
        <v>4.5230654102905836</v>
      </c>
      <c r="T87" s="157">
        <f>'r-in'!AG59</f>
        <v>3.2921599437556924E-2</v>
      </c>
      <c r="U87" s="157">
        <f>'r-in'!AH59</f>
        <v>4.5778747379576865</v>
      </c>
      <c r="V87" s="157">
        <f>'r-in'!AI59</f>
        <v>4.7028232665620173E-2</v>
      </c>
      <c r="W87" s="158">
        <v>108</v>
      </c>
      <c r="X87" s="762">
        <f t="shared" si="76"/>
        <v>0.88114165445751669</v>
      </c>
      <c r="Y87" s="387">
        <f t="shared" si="86"/>
        <v>4.0337561205033063</v>
      </c>
      <c r="Z87" s="640">
        <f t="shared" si="88"/>
        <v>4.7028232665620173E-2</v>
      </c>
      <c r="AA87" s="473">
        <f t="shared" si="89"/>
        <v>-5.1162608204942117</v>
      </c>
      <c r="AB87" s="478">
        <f t="shared" si="90"/>
        <v>0.46787623961364044</v>
      </c>
      <c r="AC87" s="108">
        <v>1</v>
      </c>
      <c r="AD87" s="159">
        <f t="shared" si="84"/>
        <v>8.3225607879347491E-2</v>
      </c>
      <c r="AE87" s="160">
        <v>285</v>
      </c>
      <c r="AF87" s="160">
        <v>14</v>
      </c>
      <c r="AG87" s="160">
        <v>2.1</v>
      </c>
      <c r="AH87" s="785">
        <f t="shared" si="87"/>
        <v>0.7456752715616134</v>
      </c>
      <c r="AI87" s="86">
        <f t="shared" si="91"/>
        <v>598.27711413767656</v>
      </c>
      <c r="AJ87" s="86"/>
      <c r="AK87" s="86"/>
      <c r="AL87" s="86"/>
      <c r="AM87" s="86"/>
      <c r="AU87" s="14"/>
    </row>
    <row r="88" spans="1:50" ht="13" x14ac:dyDescent="0.15">
      <c r="A88" s="781" t="str">
        <f>'r-in'!A60</f>
        <v>157_D</v>
      </c>
      <c r="B88" s="153" t="s">
        <v>1136</v>
      </c>
      <c r="C88" s="162">
        <f>'r-in'!P60</f>
        <v>6176.4937575975509</v>
      </c>
      <c r="D88" s="162">
        <f>'r-in'!Q60</f>
        <v>2.8100673983510709</v>
      </c>
      <c r="E88" s="81">
        <f>'r-in'!R60</f>
        <v>473989.29442390631</v>
      </c>
      <c r="F88" s="162">
        <f>'r-in'!S60</f>
        <v>0.18315659263209205</v>
      </c>
      <c r="G88" s="81">
        <f>'r-in'!T60</f>
        <v>4690.6373200899579</v>
      </c>
      <c r="H88" s="162">
        <f>'r-in'!U60</f>
        <v>3.5562283258690091</v>
      </c>
      <c r="I88" s="81">
        <f>'r-in'!V60</f>
        <v>5496.9833633019998</v>
      </c>
      <c r="J88" s="162">
        <f>'r-in'!W60</f>
        <v>1.9920765972896861</v>
      </c>
      <c r="K88" s="81">
        <f>'r-in'!X60</f>
        <v>2064182.8026518028</v>
      </c>
      <c r="L88" s="162">
        <f>'r-in'!Y60</f>
        <v>0.17795011411588549</v>
      </c>
      <c r="M88" s="81">
        <f>'r-in'!Z60</f>
        <v>4351.6965550208779</v>
      </c>
      <c r="N88" s="162">
        <f>'r-in'!AA60</f>
        <v>5.1744554197054349</v>
      </c>
      <c r="O88" s="81">
        <f>'r-in'!AB60</f>
        <v>433768.47256813879</v>
      </c>
      <c r="P88" s="162">
        <f>'r-in'!AC60</f>
        <v>0.19759559131296409</v>
      </c>
      <c r="Q88" s="108">
        <f>'r-in'!AD60</f>
        <v>1985983.4903279413</v>
      </c>
      <c r="R88" s="162">
        <f>'r-in'!AE60</f>
        <v>0.18492882601667163</v>
      </c>
      <c r="S88" s="157">
        <f>'r-in'!AF60</f>
        <v>4.5202745684797518</v>
      </c>
      <c r="T88" s="157">
        <f>'r-in'!AG60</f>
        <v>3.2936329295438466E-2</v>
      </c>
      <c r="U88" s="157">
        <f>'r-in'!AH60</f>
        <v>4.5785589119397923</v>
      </c>
      <c r="V88" s="157">
        <f>'r-in'!AI60</f>
        <v>3.7048392871755938E-2</v>
      </c>
      <c r="W88" s="158">
        <v>157</v>
      </c>
      <c r="X88" s="762">
        <f t="shared" si="76"/>
        <v>0.88223582436764769</v>
      </c>
      <c r="Y88" s="387">
        <f t="shared" si="86"/>
        <v>4.0393686960910431</v>
      </c>
      <c r="Z88" s="640">
        <f t="shared" si="88"/>
        <v>3.7048392871755938E-2</v>
      </c>
      <c r="AA88" s="473">
        <f t="shared" si="89"/>
        <v>-3.7319777799869058</v>
      </c>
      <c r="AB88" s="478">
        <f t="shared" si="90"/>
        <v>0.36910129092782018</v>
      </c>
      <c r="AC88" s="108">
        <v>1</v>
      </c>
      <c r="AD88" s="159">
        <f t="shared" si="84"/>
        <v>8.3225607879347491E-2</v>
      </c>
      <c r="AE88" s="160">
        <v>285</v>
      </c>
      <c r="AF88" s="160">
        <v>14</v>
      </c>
      <c r="AG88" s="160">
        <v>2.1</v>
      </c>
      <c r="AH88" s="785">
        <f t="shared" si="87"/>
        <v>0.74516291278622049</v>
      </c>
      <c r="AI88" s="86">
        <f t="shared" si="91"/>
        <v>456.36993876251859</v>
      </c>
      <c r="AJ88" s="86"/>
      <c r="AK88" s="86"/>
      <c r="AL88" s="86"/>
      <c r="AM88" s="86"/>
      <c r="AO88" s="81"/>
      <c r="AQ88" s="568"/>
      <c r="AR88" s="568"/>
      <c r="AS88" s="576"/>
      <c r="AT88" s="660"/>
      <c r="AU88" s="576"/>
      <c r="AV88" s="736"/>
      <c r="AW88" s="568"/>
      <c r="AX88" s="720"/>
    </row>
    <row r="89" spans="1:50" ht="13" x14ac:dyDescent="0.15">
      <c r="A89" s="781" t="str">
        <f>'r-in'!A61</f>
        <v>158_D</v>
      </c>
      <c r="B89" s="153" t="s">
        <v>1136</v>
      </c>
      <c r="C89" s="162">
        <f>'r-in'!P61</f>
        <v>6028.4599833104357</v>
      </c>
      <c r="D89" s="162">
        <f>'r-in'!Q61</f>
        <v>3.0775182446357232</v>
      </c>
      <c r="E89" s="81">
        <f>'r-in'!R61</f>
        <v>488876.59544599132</v>
      </c>
      <c r="F89" s="162">
        <f>'r-in'!S61</f>
        <v>0.18478552403301687</v>
      </c>
      <c r="G89" s="81">
        <f>'r-in'!T61</f>
        <v>4544.914341409517</v>
      </c>
      <c r="H89" s="162">
        <f>'r-in'!U61</f>
        <v>4.0675014640545424</v>
      </c>
      <c r="I89" s="81">
        <f>'r-in'!V61</f>
        <v>5350.0063597729395</v>
      </c>
      <c r="J89" s="162">
        <f>'r-in'!W61</f>
        <v>2.4142486991200363</v>
      </c>
      <c r="K89" s="81">
        <f>'r-in'!X61</f>
        <v>2131552.2202850184</v>
      </c>
      <c r="L89" s="162">
        <f>'r-in'!Y61</f>
        <v>0.18825873550317868</v>
      </c>
      <c r="M89" s="81">
        <f>'r-in'!Z61</f>
        <v>4022.370487439608</v>
      </c>
      <c r="N89" s="162">
        <f>'r-in'!AA61</f>
        <v>6.4159655478291064</v>
      </c>
      <c r="O89" s="81">
        <f>'r-in'!AB61</f>
        <v>449313.45271482359</v>
      </c>
      <c r="P89" s="162">
        <f>'r-in'!AC61</f>
        <v>0.19607116222746837</v>
      </c>
      <c r="Q89" s="108">
        <f>'r-in'!AD61</f>
        <v>2054722.0541909984</v>
      </c>
      <c r="R89" s="162">
        <f>'r-in'!AE61</f>
        <v>0.19303236239586638</v>
      </c>
      <c r="S89" s="157">
        <f>'r-in'!AF61</f>
        <v>4.5187319230510363</v>
      </c>
      <c r="T89" s="157">
        <f>'r-in'!AG61</f>
        <v>3.562387372334986E-2</v>
      </c>
      <c r="U89" s="157">
        <f>'r-in'!AH61</f>
        <v>4.5730569335122908</v>
      </c>
      <c r="V89" s="157">
        <f>'r-in'!AI61</f>
        <v>2.7806085495675429E-2</v>
      </c>
      <c r="W89" s="158">
        <v>158</v>
      </c>
      <c r="X89" s="762">
        <f t="shared" si="76"/>
        <v>0.88225489207712615</v>
      </c>
      <c r="Y89" s="387">
        <f t="shared" si="86"/>
        <v>4.0346018513384392</v>
      </c>
      <c r="Z89" s="640">
        <f t="shared" si="88"/>
        <v>2.7806085495675429E-2</v>
      </c>
      <c r="AA89" s="473">
        <f t="shared" si="89"/>
        <v>-4.9076701594674699</v>
      </c>
      <c r="AB89" s="478">
        <f t="shared" si="90"/>
        <v>0.27669622399639771</v>
      </c>
      <c r="AC89" s="108">
        <v>1</v>
      </c>
      <c r="AD89" s="159">
        <f t="shared" si="84"/>
        <v>8.3225607879347491E-2</v>
      </c>
      <c r="AE89" s="160">
        <v>285</v>
      </c>
      <c r="AF89" s="160">
        <v>14</v>
      </c>
      <c r="AG89" s="160">
        <v>2.1</v>
      </c>
      <c r="AH89" s="785">
        <f t="shared" si="87"/>
        <v>0.77136238837464777</v>
      </c>
      <c r="AI89" s="86">
        <f t="shared" si="91"/>
        <v>510.82366992477296</v>
      </c>
      <c r="AJ89" s="86"/>
      <c r="AK89" s="86"/>
      <c r="AL89" s="86"/>
      <c r="AM89" s="86"/>
      <c r="AU89" s="14"/>
    </row>
    <row r="90" spans="1:50" ht="13" x14ac:dyDescent="0.15">
      <c r="A90" s="781" t="str">
        <f>'r-in'!A62</f>
        <v>207_D</v>
      </c>
      <c r="B90" s="153" t="s">
        <v>1136</v>
      </c>
      <c r="C90" s="162">
        <f>'r-in'!P62</f>
        <v>5843.3883471602821</v>
      </c>
      <c r="D90" s="162">
        <f>'r-in'!Q62</f>
        <v>2.715223611561167</v>
      </c>
      <c r="E90" s="81">
        <f>'r-in'!R62</f>
        <v>451681.57550042192</v>
      </c>
      <c r="F90" s="162">
        <f>'r-in'!S62</f>
        <v>0.20822829550133892</v>
      </c>
      <c r="G90" s="81">
        <f>'r-in'!T62</f>
        <v>4658.9595540069249</v>
      </c>
      <c r="H90" s="162">
        <f>'r-in'!U62</f>
        <v>3.764894184068813</v>
      </c>
      <c r="I90" s="81">
        <f>'r-in'!V62</f>
        <v>5301.7265446239044</v>
      </c>
      <c r="J90" s="162">
        <f>'r-in'!W62</f>
        <v>2.2005697352218374</v>
      </c>
      <c r="K90" s="81">
        <f>'r-in'!X62</f>
        <v>1964706.8061952081</v>
      </c>
      <c r="L90" s="162">
        <f>'r-in'!Y62</f>
        <v>0.21529989426627108</v>
      </c>
      <c r="M90" s="81">
        <f>'r-in'!Z62</f>
        <v>4108.6779944233576</v>
      </c>
      <c r="N90" s="162">
        <f>'r-in'!AA62</f>
        <v>5.8701082624852452</v>
      </c>
      <c r="O90" s="81">
        <f>'r-in'!AB62</f>
        <v>413057.13318336761</v>
      </c>
      <c r="P90" s="162">
        <f>'r-in'!AC62</f>
        <v>0.2275151144635921</v>
      </c>
      <c r="Q90" s="108">
        <f>'r-in'!AD62</f>
        <v>1889590.8697852651</v>
      </c>
      <c r="R90" s="162">
        <f>'r-in'!AE62</f>
        <v>0.22447526001588797</v>
      </c>
      <c r="S90" s="157">
        <f>'r-in'!AF62</f>
        <v>4.516526222201275</v>
      </c>
      <c r="T90" s="157">
        <f>'r-in'!AG62</f>
        <v>4.0909200414504091E-2</v>
      </c>
      <c r="U90" s="157">
        <f>'r-in'!AH62</f>
        <v>4.5747330516043982</v>
      </c>
      <c r="V90" s="157">
        <f>'r-in'!AI62</f>
        <v>5.3179788756266611E-2</v>
      </c>
      <c r="W90" s="158">
        <v>207</v>
      </c>
      <c r="X90" s="762">
        <f t="shared" si="76"/>
        <v>0.88295287766244146</v>
      </c>
      <c r="Y90" s="387">
        <f t="shared" si="86"/>
        <v>4.0392737124515854</v>
      </c>
      <c r="Z90" s="640">
        <f t="shared" si="88"/>
        <v>5.3179788756266611E-2</v>
      </c>
      <c r="AA90" s="473">
        <f t="shared" si="89"/>
        <v>-3.7554045007804904</v>
      </c>
      <c r="AB90" s="478">
        <f t="shared" si="90"/>
        <v>0.52980077138220505</v>
      </c>
      <c r="AC90" s="108">
        <v>1</v>
      </c>
      <c r="AD90" s="159">
        <f t="shared" si="84"/>
        <v>8.3225607879347491E-2</v>
      </c>
      <c r="AE90" s="160">
        <v>285</v>
      </c>
      <c r="AF90" s="160">
        <v>14</v>
      </c>
      <c r="AG90" s="160">
        <v>2.1</v>
      </c>
      <c r="AH90" s="785">
        <f t="shared" si="87"/>
        <v>0.72742284807220825</v>
      </c>
      <c r="AI90" s="86">
        <f t="shared" si="91"/>
        <v>459.90239983517233</v>
      </c>
      <c r="AJ90" s="86"/>
      <c r="AK90" s="86"/>
      <c r="AL90" s="86"/>
      <c r="AM90" s="86"/>
      <c r="AO90" s="81"/>
      <c r="AQ90" s="568"/>
      <c r="AR90" s="568"/>
      <c r="AS90" s="576"/>
      <c r="AT90" s="660"/>
      <c r="AU90" s="576"/>
      <c r="AV90" s="736"/>
      <c r="AW90" s="568"/>
      <c r="AX90" s="720"/>
    </row>
    <row r="91" spans="1:50" ht="13" x14ac:dyDescent="0.15">
      <c r="A91" s="781" t="str">
        <f>'r-in'!A63</f>
        <v>208_D</v>
      </c>
      <c r="B91" s="153" t="s">
        <v>1136</v>
      </c>
      <c r="C91" s="162">
        <f>'r-in'!P63</f>
        <v>5871.304942120184</v>
      </c>
      <c r="D91" s="162">
        <f>'r-in'!Q63</f>
        <v>2.9636412979548008</v>
      </c>
      <c r="E91" s="81">
        <f>'r-in'!R63</f>
        <v>438460.54515703005</v>
      </c>
      <c r="F91" s="162">
        <f>'r-in'!S63</f>
        <v>0.20607465544063008</v>
      </c>
      <c r="G91" s="81">
        <f>'r-in'!T63</f>
        <v>4513.241065736609</v>
      </c>
      <c r="H91" s="162">
        <f>'r-in'!U63</f>
        <v>4.0801267188331813</v>
      </c>
      <c r="I91" s="81">
        <f>'r-in'!V63</f>
        <v>5250.2365153023784</v>
      </c>
      <c r="J91" s="162">
        <f>'r-in'!W63</f>
        <v>2.5380825360971291</v>
      </c>
      <c r="K91" s="81">
        <f>'r-in'!X63</f>
        <v>1904278.471259743</v>
      </c>
      <c r="L91" s="162">
        <f>'r-in'!Y63</f>
        <v>0.2000602372953581</v>
      </c>
      <c r="M91" s="81">
        <f>'r-in'!Z63</f>
        <v>3972.4368547124632</v>
      </c>
      <c r="N91" s="162">
        <f>'r-in'!AA63</f>
        <v>5.7759238137322981</v>
      </c>
      <c r="O91" s="81">
        <f>'r-in'!AB63</f>
        <v>400442.55250679946</v>
      </c>
      <c r="P91" s="162">
        <f>'r-in'!AC63</f>
        <v>0.22137460236263906</v>
      </c>
      <c r="Q91" s="108">
        <f>'r-in'!AD63</f>
        <v>1830347.3322165471</v>
      </c>
      <c r="R91" s="162">
        <f>'r-in'!AE63</f>
        <v>0.20440900767084627</v>
      </c>
      <c r="S91" s="157">
        <f>'r-in'!AF63</f>
        <v>4.5108284429012553</v>
      </c>
      <c r="T91" s="157">
        <f>'r-in'!AG63</f>
        <v>4.1906439327037928E-2</v>
      </c>
      <c r="U91" s="157">
        <f>'r-in'!AH63</f>
        <v>4.5709920829643496</v>
      </c>
      <c r="V91" s="157">
        <f>'r-in'!AI63</f>
        <v>4.8229020036143475E-2</v>
      </c>
      <c r="W91" s="158">
        <v>208</v>
      </c>
      <c r="X91" s="762">
        <f t="shared" si="76"/>
        <v>0.88296274705718947</v>
      </c>
      <c r="Y91" s="387">
        <f t="shared" si="86"/>
        <v>4.0360157263508665</v>
      </c>
      <c r="Z91" s="640">
        <f t="shared" si="88"/>
        <v>4.8229020036143475E-2</v>
      </c>
      <c r="AA91" s="473">
        <f t="shared" si="89"/>
        <v>-4.5589526819912463</v>
      </c>
      <c r="AB91" s="478">
        <f t="shared" si="90"/>
        <v>0.48009146215888254</v>
      </c>
      <c r="AC91" s="108">
        <v>1</v>
      </c>
      <c r="AD91" s="159">
        <f t="shared" si="84"/>
        <v>8.3225607879347491E-2</v>
      </c>
      <c r="AE91" s="160">
        <v>285</v>
      </c>
      <c r="AF91" s="160">
        <v>14</v>
      </c>
      <c r="AG91" s="160">
        <v>2.1</v>
      </c>
      <c r="AH91" s="785">
        <f t="shared" si="87"/>
        <v>0.70502089003565316</v>
      </c>
      <c r="AI91" s="86">
        <f t="shared" si="91"/>
        <v>460.76184446965442</v>
      </c>
      <c r="AJ91" s="86"/>
      <c r="AK91" s="86"/>
      <c r="AL91" s="86"/>
      <c r="AM91" s="86"/>
      <c r="AU91" s="14"/>
    </row>
    <row r="92" spans="1:50" ht="13" x14ac:dyDescent="0.15">
      <c r="A92" s="781" t="str">
        <f>'r-in'!A64</f>
        <v>257_D</v>
      </c>
      <c r="B92" s="153" t="s">
        <v>1136</v>
      </c>
      <c r="C92" s="162">
        <f>'r-in'!P64</f>
        <v>6083.6509548065242</v>
      </c>
      <c r="D92" s="162">
        <f>'r-in'!Q64</f>
        <v>3.3005043745313838</v>
      </c>
      <c r="E92" s="81">
        <f>'r-in'!R64</f>
        <v>439025.1087336092</v>
      </c>
      <c r="F92" s="162">
        <f>'r-in'!S64</f>
        <v>0.19056891293574107</v>
      </c>
      <c r="G92" s="81">
        <f>'r-in'!T64</f>
        <v>4399.13966269506</v>
      </c>
      <c r="H92" s="162">
        <f>'r-in'!U64</f>
        <v>3.6747047505529746</v>
      </c>
      <c r="I92" s="81">
        <f>'r-in'!V64</f>
        <v>5313.291919166435</v>
      </c>
      <c r="J92" s="162">
        <f>'r-in'!W64</f>
        <v>2.3272184510426195</v>
      </c>
      <c r="K92" s="81">
        <f>'r-in'!X64</f>
        <v>1909022.9045318398</v>
      </c>
      <c r="L92" s="162">
        <f>'r-in'!Y64</f>
        <v>0.19728761297669919</v>
      </c>
      <c r="M92" s="81">
        <f>'r-in'!Z64</f>
        <v>3053.4550059046633</v>
      </c>
      <c r="N92" s="162">
        <f>'r-in'!AA64</f>
        <v>8.6906200247362122</v>
      </c>
      <c r="O92" s="81">
        <f>'r-in'!AB64</f>
        <v>400372.49835568032</v>
      </c>
      <c r="P92" s="162">
        <f>'r-in'!AC64</f>
        <v>0.20880133118152214</v>
      </c>
      <c r="Q92" s="108">
        <f>'r-in'!AD64</f>
        <v>1834523.0271794451</v>
      </c>
      <c r="R92" s="162">
        <f>'r-in'!AE64</f>
        <v>0.20331612697549648</v>
      </c>
      <c r="S92" s="157">
        <f>'r-in'!AF64</f>
        <v>4.5213978923981699</v>
      </c>
      <c r="T92" s="157">
        <f>'r-in'!AG64</f>
        <v>4.2909952865273923E-2</v>
      </c>
      <c r="U92" s="157">
        <f>'r-in'!AH64</f>
        <v>4.5821009067160139</v>
      </c>
      <c r="V92" s="157">
        <f>'r-in'!AI64</f>
        <v>3.9289655217660674E-2</v>
      </c>
      <c r="W92" s="158">
        <v>257</v>
      </c>
      <c r="X92" s="762">
        <f t="shared" si="76"/>
        <v>0.88339412266956052</v>
      </c>
      <c r="Y92" s="387">
        <f t="shared" si="86"/>
        <v>4.0478010104717912</v>
      </c>
      <c r="Z92" s="640">
        <f t="shared" si="88"/>
        <v>3.9289655217660674E-2</v>
      </c>
      <c r="AA92" s="473">
        <f t="shared" si="89"/>
        <v>-1.6522356710343411</v>
      </c>
      <c r="AB92" s="478">
        <f t="shared" si="90"/>
        <v>0.39224739447818457</v>
      </c>
      <c r="AC92" s="108">
        <v>1</v>
      </c>
      <c r="AD92" s="159">
        <f t="shared" si="84"/>
        <v>8.3225607879347491E-2</v>
      </c>
      <c r="AE92" s="160">
        <v>285</v>
      </c>
      <c r="AF92" s="160">
        <v>14</v>
      </c>
      <c r="AG92" s="160">
        <v>2.1</v>
      </c>
      <c r="AH92" s="785">
        <f t="shared" si="87"/>
        <v>0.73471496593712826</v>
      </c>
      <c r="AI92" s="86">
        <f t="shared" si="91"/>
        <v>600.8023775139668</v>
      </c>
      <c r="AJ92" s="86"/>
      <c r="AK92" s="86"/>
      <c r="AL92" s="86"/>
      <c r="AM92" s="86"/>
      <c r="AO92" s="81"/>
      <c r="AQ92" s="568"/>
      <c r="AR92" s="568"/>
      <c r="AS92" s="576"/>
      <c r="AT92" s="660"/>
      <c r="AU92" s="576"/>
      <c r="AV92" s="736"/>
      <c r="AW92" s="568"/>
      <c r="AX92" s="720"/>
    </row>
    <row r="93" spans="1:50" ht="13" x14ac:dyDescent="0.15">
      <c r="A93" s="781" t="str">
        <f>'r-in'!A65</f>
        <v>258_D</v>
      </c>
      <c r="B93" s="153" t="s">
        <v>1136</v>
      </c>
      <c r="C93" s="162">
        <f>'r-in'!P65</f>
        <v>5844.799460663633</v>
      </c>
      <c r="D93" s="162">
        <f>'r-in'!Q65</f>
        <v>2.9984210863104628</v>
      </c>
      <c r="E93" s="81">
        <f>'r-in'!R65</f>
        <v>437563.12692352675</v>
      </c>
      <c r="F93" s="162">
        <f>'r-in'!S65</f>
        <v>0.1636653937876035</v>
      </c>
      <c r="G93" s="81">
        <f>'r-in'!T65</f>
        <v>4338.2044051584517</v>
      </c>
      <c r="H93" s="162">
        <f>'r-in'!U65</f>
        <v>4.2198580575000335</v>
      </c>
      <c r="I93" s="81">
        <f>'r-in'!V65</f>
        <v>5155.8049021265288</v>
      </c>
      <c r="J93" s="162">
        <f>'r-in'!W65</f>
        <v>2.4545313871913392</v>
      </c>
      <c r="K93" s="81">
        <f>'r-in'!X65</f>
        <v>1900612.9674066703</v>
      </c>
      <c r="L93" s="162">
        <f>'r-in'!Y65</f>
        <v>0.17551949641007264</v>
      </c>
      <c r="M93" s="81">
        <f>'r-in'!Z65</f>
        <v>4270.7566002394324</v>
      </c>
      <c r="N93" s="162">
        <f>'r-in'!AA65</f>
        <v>5.9378029882981309</v>
      </c>
      <c r="O93" s="81">
        <f>'r-in'!AB65</f>
        <v>399555.29239562759</v>
      </c>
      <c r="P93" s="162">
        <f>'r-in'!AC65</f>
        <v>0.17874406407214075</v>
      </c>
      <c r="Q93" s="108">
        <f>'r-in'!AD65</f>
        <v>1825480.0013017037</v>
      </c>
      <c r="R93" s="162">
        <f>'r-in'!AE65</f>
        <v>0.18023079562988883</v>
      </c>
      <c r="S93" s="157">
        <f>'r-in'!AF65</f>
        <v>4.5121557459756465</v>
      </c>
      <c r="T93" s="157">
        <f>'r-in'!AG65</f>
        <v>3.5629527833595458E-2</v>
      </c>
      <c r="U93" s="157">
        <f>'r-in'!AH65</f>
        <v>4.5688173406213766</v>
      </c>
      <c r="V93" s="157">
        <f>'r-in'!AI65</f>
        <v>5.0198621922908533E-2</v>
      </c>
      <c r="W93" s="158">
        <v>258</v>
      </c>
      <c r="X93" s="762">
        <f t="shared" si="76"/>
        <v>0.88340482342519477</v>
      </c>
      <c r="Y93" s="387">
        <f t="shared" si="86"/>
        <v>4.0361152760535948</v>
      </c>
      <c r="Z93" s="640">
        <f t="shared" si="88"/>
        <v>5.0198621922908533E-2</v>
      </c>
      <c r="AA93" s="473">
        <f t="shared" si="89"/>
        <v>-4.5343997894697896</v>
      </c>
      <c r="AB93" s="478">
        <f t="shared" si="90"/>
        <v>0.49971001302229201</v>
      </c>
      <c r="AC93" s="108">
        <v>1</v>
      </c>
      <c r="AD93" s="159">
        <f t="shared" si="84"/>
        <v>8.3225607879347491E-2</v>
      </c>
      <c r="AE93" s="160">
        <v>285</v>
      </c>
      <c r="AF93" s="160">
        <v>14</v>
      </c>
      <c r="AG93" s="160">
        <v>2.1</v>
      </c>
      <c r="AH93" s="785">
        <f t="shared" si="87"/>
        <v>0.73190296515978459</v>
      </c>
      <c r="AI93" s="86">
        <f t="shared" si="91"/>
        <v>427.43714338563836</v>
      </c>
      <c r="AJ93" s="86"/>
      <c r="AK93" s="86"/>
      <c r="AL93" s="86"/>
      <c r="AM93" s="86"/>
      <c r="AU93" s="14"/>
    </row>
    <row r="94" spans="1:50" ht="13" x14ac:dyDescent="0.15">
      <c r="A94" s="781" t="str">
        <f>'r-in'!A66</f>
        <v>307_D</v>
      </c>
      <c r="B94" s="153" t="s">
        <v>1136</v>
      </c>
      <c r="C94" s="162">
        <f>'r-in'!P66</f>
        <v>5583.9504412413407</v>
      </c>
      <c r="D94" s="162">
        <f>'r-in'!Q66</f>
        <v>3.4512162767084287</v>
      </c>
      <c r="E94" s="81">
        <f>'r-in'!R66</f>
        <v>412255.18750209972</v>
      </c>
      <c r="F94" s="162">
        <f>'r-in'!S66</f>
        <v>0.16497003791437898</v>
      </c>
      <c r="G94" s="81">
        <f>'r-in'!T66</f>
        <v>4581.636539452843</v>
      </c>
      <c r="H94" s="162">
        <f>'r-in'!U66</f>
        <v>4.2258013468029372</v>
      </c>
      <c r="I94" s="81">
        <f>'r-in'!V66</f>
        <v>5125.5732404434784</v>
      </c>
      <c r="J94" s="162">
        <f>'r-in'!W66</f>
        <v>2.9111214575282198</v>
      </c>
      <c r="K94" s="81">
        <f>'r-in'!X66</f>
        <v>1787590.8905623471</v>
      </c>
      <c r="L94" s="162">
        <f>'r-in'!Y66</f>
        <v>0.16705352725562114</v>
      </c>
      <c r="M94" s="81">
        <f>'r-in'!Z66</f>
        <v>3142.8604711877902</v>
      </c>
      <c r="N94" s="162">
        <f>'r-in'!AA66</f>
        <v>5.931019754967763</v>
      </c>
      <c r="O94" s="81">
        <f>'r-in'!AB66</f>
        <v>375863.83143844421</v>
      </c>
      <c r="P94" s="162">
        <f>'r-in'!AC66</f>
        <v>0.17426654601926861</v>
      </c>
      <c r="Q94" s="108">
        <f>'r-in'!AD66</f>
        <v>1718148.5573162271</v>
      </c>
      <c r="R94" s="162">
        <f>'r-in'!AE66</f>
        <v>0.17521741988177114</v>
      </c>
      <c r="S94" s="157">
        <f>'r-in'!AF66</f>
        <v>4.5097150299945223</v>
      </c>
      <c r="T94" s="157">
        <f>'r-in'!AG66</f>
        <v>3.2788792987540505E-2</v>
      </c>
      <c r="U94" s="157">
        <f>'r-in'!AH66</f>
        <v>4.5712293214304216</v>
      </c>
      <c r="V94" s="157">
        <f>'r-in'!AI66</f>
        <v>4.481551667230619E-2</v>
      </c>
      <c r="W94" s="158">
        <v>307</v>
      </c>
      <c r="X94" s="762">
        <f t="shared" si="76"/>
        <v>0.88442429127712863</v>
      </c>
      <c r="Y94" s="387">
        <f t="shared" si="86"/>
        <v>4.0429062528713304</v>
      </c>
      <c r="Z94" s="640">
        <f t="shared" si="88"/>
        <v>4.481551667230619E-2</v>
      </c>
      <c r="AA94" s="473">
        <f t="shared" si="89"/>
        <v>-2.8594764159993735</v>
      </c>
      <c r="AB94" s="478">
        <f t="shared" si="90"/>
        <v>0.44687367759321805</v>
      </c>
      <c r="AC94" s="108">
        <v>1</v>
      </c>
      <c r="AD94" s="159">
        <f t="shared" si="84"/>
        <v>8.3225607879347491E-2</v>
      </c>
      <c r="AE94" s="160">
        <v>285</v>
      </c>
      <c r="AF94" s="160">
        <v>14</v>
      </c>
      <c r="AG94" s="160">
        <v>2.1</v>
      </c>
      <c r="AH94" s="785">
        <f t="shared" si="87"/>
        <v>0.74590178835934762</v>
      </c>
      <c r="AI94" s="86">
        <f t="shared" si="91"/>
        <v>546.68305292817604</v>
      </c>
      <c r="AJ94" s="86"/>
      <c r="AK94" s="86"/>
      <c r="AL94" s="86"/>
      <c r="AM94" s="86"/>
      <c r="AO94" s="81"/>
      <c r="AQ94" s="568"/>
      <c r="AR94" s="568"/>
      <c r="AS94" s="576"/>
      <c r="AT94" s="660"/>
      <c r="AU94" s="576"/>
      <c r="AV94" s="736"/>
      <c r="AW94" s="568"/>
      <c r="AX94" s="720"/>
    </row>
    <row r="95" spans="1:50" ht="13" x14ac:dyDescent="0.15">
      <c r="A95" s="781" t="str">
        <f>'r-in'!A67</f>
        <v>308_D</v>
      </c>
      <c r="B95" s="153" t="s">
        <v>1136</v>
      </c>
      <c r="C95" s="162">
        <f>'r-in'!P67</f>
        <v>5746.6257224609453</v>
      </c>
      <c r="D95" s="162">
        <f>'r-in'!Q67</f>
        <v>2.8764540291018945</v>
      </c>
      <c r="E95" s="81">
        <f>'r-in'!R67</f>
        <v>434544.10634611361</v>
      </c>
      <c r="F95" s="162">
        <f>'r-in'!S67</f>
        <v>0.18143711905616716</v>
      </c>
      <c r="G95" s="81">
        <f>'r-in'!T67</f>
        <v>4232.4606550825083</v>
      </c>
      <c r="H95" s="162">
        <f>'r-in'!U67</f>
        <v>4.3390532283749188</v>
      </c>
      <c r="I95" s="81">
        <f>'r-in'!V67</f>
        <v>5054.1692535918801</v>
      </c>
      <c r="J95" s="162">
        <f>'r-in'!W67</f>
        <v>2.2280777294759559</v>
      </c>
      <c r="K95" s="81">
        <f>'r-in'!X67</f>
        <v>1888954.2969643536</v>
      </c>
      <c r="L95" s="162">
        <f>'r-in'!Y67</f>
        <v>0.18491748814464173</v>
      </c>
      <c r="M95" s="81">
        <f>'r-in'!Z67</f>
        <v>4109.4215325990208</v>
      </c>
      <c r="N95" s="162">
        <f>'r-in'!AA67</f>
        <v>5.7956945631381194</v>
      </c>
      <c r="O95" s="81">
        <f>'r-in'!AB67</f>
        <v>398473.09410918533</v>
      </c>
      <c r="P95" s="162">
        <f>'r-in'!AC67</f>
        <v>0.19461543903334488</v>
      </c>
      <c r="Q95" s="108">
        <f>'r-in'!AD67</f>
        <v>1819470.5485823762</v>
      </c>
      <c r="R95" s="162">
        <f>'r-in'!AE67</f>
        <v>0.19484004875037447</v>
      </c>
      <c r="S95" s="157">
        <f>'r-in'!AF67</f>
        <v>4.5092407950215199</v>
      </c>
      <c r="T95" s="157">
        <f>'r-in'!AG67</f>
        <v>4.0129367501555949E-2</v>
      </c>
      <c r="U95" s="157">
        <f>'r-in'!AH67</f>
        <v>4.56613870336757</v>
      </c>
      <c r="V95" s="157">
        <f>'r-in'!AI67</f>
        <v>4.1701771119800411E-2</v>
      </c>
      <c r="W95" s="158">
        <v>308</v>
      </c>
      <c r="X95" s="762">
        <f t="shared" si="76"/>
        <v>0.88446071061686127</v>
      </c>
      <c r="Y95" s="387">
        <f t="shared" si="86"/>
        <v>4.0385702823556349</v>
      </c>
      <c r="Z95" s="640">
        <f t="shared" si="88"/>
        <v>4.1701771119800411E-2</v>
      </c>
      <c r="AA95" s="473">
        <f t="shared" si="89"/>
        <v>-3.9288981734776351</v>
      </c>
      <c r="AB95" s="478">
        <f t="shared" si="90"/>
        <v>0.41537929107415827</v>
      </c>
      <c r="AC95" s="108">
        <v>1</v>
      </c>
      <c r="AD95" s="159">
        <f t="shared" si="84"/>
        <v>8.3225607879347491E-2</v>
      </c>
      <c r="AE95" s="160">
        <v>285</v>
      </c>
      <c r="AF95" s="160">
        <v>14</v>
      </c>
      <c r="AG95" s="160">
        <v>2.1</v>
      </c>
      <c r="AH95" s="785">
        <f t="shared" si="87"/>
        <v>0.79168426909055822</v>
      </c>
      <c r="AI95" s="86">
        <f t="shared" si="91"/>
        <v>442.75588039556618</v>
      </c>
      <c r="AJ95" s="86"/>
      <c r="AK95" s="86"/>
      <c r="AL95" s="86"/>
      <c r="AM95" s="86"/>
      <c r="AU95" s="14"/>
    </row>
    <row r="96" spans="1:50" ht="13" x14ac:dyDescent="0.15">
      <c r="A96" s="237"/>
      <c r="B96" s="153"/>
      <c r="C96" s="14"/>
      <c r="H96" s="257"/>
      <c r="J96" s="252"/>
      <c r="L96" s="252"/>
      <c r="N96" s="252"/>
      <c r="P96" s="252"/>
      <c r="R96" s="252"/>
      <c r="S96" s="252"/>
      <c r="T96" s="252"/>
      <c r="U96" s="252"/>
      <c r="V96" s="252"/>
      <c r="Y96" s="445">
        <f>AGaverage(Y82:Y95)</f>
        <v>4.0369947129731063</v>
      </c>
      <c r="Z96" s="456">
        <f>ExcsScatter(Y82:Z95)</f>
        <v>0.10909014660370829</v>
      </c>
      <c r="AA96" s="81"/>
      <c r="AB96" s="81"/>
      <c r="AC96" s="81"/>
      <c r="AD96" s="81"/>
      <c r="AE96" s="81"/>
      <c r="AF96" s="81"/>
      <c r="AG96" s="81"/>
      <c r="AU96" s="14"/>
    </row>
    <row r="97" spans="1:49" ht="13" x14ac:dyDescent="0.15">
      <c r="A97" s="237"/>
      <c r="B97" s="153"/>
      <c r="C97" s="14"/>
      <c r="H97" s="257"/>
      <c r="J97" s="252"/>
      <c r="L97" s="252"/>
      <c r="N97" s="252"/>
      <c r="P97" s="252"/>
      <c r="R97" s="252"/>
      <c r="S97" s="445">
        <f>AGaverage(S82:S96)</f>
        <v>4.5176934478438247</v>
      </c>
      <c r="T97" s="161"/>
      <c r="U97" s="445">
        <f>AGaverage(U82:U96)</f>
        <v>4.5761987480938808</v>
      </c>
      <c r="V97" s="252"/>
      <c r="Y97" s="12">
        <f>AGstdv(Y82:Y95, TRUE)</f>
        <v>0.114901758453143</v>
      </c>
      <c r="Z97" s="81"/>
      <c r="AA97" s="455">
        <f>AGaverage(AA82:AA95)</f>
        <v>-4.3174958754207644</v>
      </c>
      <c r="AB97" s="455"/>
      <c r="AC97" s="81"/>
      <c r="AD97" s="81"/>
      <c r="AE97" s="81"/>
      <c r="AF97" s="81"/>
      <c r="AG97" s="81"/>
      <c r="AU97" s="14"/>
    </row>
    <row r="98" spans="1:49" ht="13" x14ac:dyDescent="0.15">
      <c r="A98" s="237"/>
      <c r="B98" s="153"/>
      <c r="C98" s="14"/>
      <c r="H98" s="257"/>
      <c r="S98" s="12">
        <f>AGstdv(S82:S96, TRUE)</f>
        <v>0.13597823604349996</v>
      </c>
      <c r="T98" s="161"/>
      <c r="U98" s="12">
        <f>AGstdv(U82:U96, TRUE)</f>
        <v>0.12104919154120566</v>
      </c>
      <c r="Y98" s="164"/>
      <c r="AA98" s="471">
        <f>STDEV(AA82:AA95)/(COUNT(AA82:AA95)-1)^0.5</f>
        <v>0.31730423961378196</v>
      </c>
      <c r="AB98" s="471"/>
      <c r="AC98" s="14"/>
      <c r="AU98" s="14"/>
    </row>
    <row r="99" spans="1:49" ht="13" x14ac:dyDescent="0.15">
      <c r="A99" s="237"/>
      <c r="B99" s="153"/>
      <c r="C99" s="14"/>
      <c r="H99" s="257"/>
      <c r="Y99" s="164"/>
      <c r="AC99" s="14"/>
      <c r="AU99" s="14"/>
    </row>
    <row r="100" spans="1:49" ht="13" x14ac:dyDescent="0.15">
      <c r="A100" s="237"/>
      <c r="B100" s="153"/>
      <c r="C100" s="14"/>
      <c r="H100" s="257"/>
      <c r="Y100" s="164"/>
      <c r="AC100" s="14"/>
      <c r="AU100" s="14"/>
    </row>
    <row r="101" spans="1:49" s="204" customFormat="1" ht="16" x14ac:dyDescent="0.2">
      <c r="A101" s="16" t="s">
        <v>430</v>
      </c>
      <c r="B101" s="254"/>
      <c r="E101" s="613"/>
      <c r="G101" s="613"/>
      <c r="H101" s="256"/>
      <c r="I101" s="613"/>
      <c r="K101" s="613"/>
      <c r="M101" s="613"/>
      <c r="O101" s="613"/>
      <c r="Q101" s="613"/>
      <c r="X101" s="205">
        <f>X40</f>
        <v>1</v>
      </c>
      <c r="Y101" s="17"/>
      <c r="AJ101" s="680"/>
      <c r="AK101" s="680"/>
      <c r="AL101" s="680"/>
      <c r="AM101" s="680"/>
      <c r="AO101" s="22" t="s">
        <v>559</v>
      </c>
      <c r="AP101" s="22" t="s">
        <v>560</v>
      </c>
      <c r="AQ101" s="22"/>
      <c r="AR101" s="22" t="s">
        <v>527</v>
      </c>
      <c r="AS101" s="22" t="s">
        <v>525</v>
      </c>
      <c r="AT101" s="668" t="s">
        <v>444</v>
      </c>
      <c r="AU101" s="538" t="s">
        <v>526</v>
      </c>
      <c r="AW101" s="607"/>
    </row>
    <row r="102" spans="1:49" ht="13" x14ac:dyDescent="0.15">
      <c r="A102" s="301" t="e">
        <f>'r-in'!#REF!</f>
        <v>#REF!</v>
      </c>
      <c r="B102" s="153"/>
      <c r="C102" s="162" t="e">
        <f>'r-in'!#REF!</f>
        <v>#REF!</v>
      </c>
      <c r="D102" s="162" t="e">
        <f>'r-in'!#REF!</f>
        <v>#REF!</v>
      </c>
      <c r="E102" s="81" t="e">
        <f>'r-in'!#REF!</f>
        <v>#REF!</v>
      </c>
      <c r="F102" s="162" t="e">
        <f>'r-in'!#REF!</f>
        <v>#REF!</v>
      </c>
      <c r="G102" s="81" t="e">
        <f>'r-in'!#REF!</f>
        <v>#REF!</v>
      </c>
      <c r="H102" s="162" t="e">
        <f>'r-in'!#REF!</f>
        <v>#REF!</v>
      </c>
      <c r="I102" s="81" t="e">
        <f>'r-in'!#REF!</f>
        <v>#REF!</v>
      </c>
      <c r="J102" s="162" t="e">
        <f>'r-in'!#REF!</f>
        <v>#REF!</v>
      </c>
      <c r="K102" s="81" t="e">
        <f>'r-in'!#REF!</f>
        <v>#REF!</v>
      </c>
      <c r="L102" s="162" t="e">
        <f>'r-in'!#REF!</f>
        <v>#REF!</v>
      </c>
      <c r="M102" s="81" t="e">
        <f>'r-in'!#REF!</f>
        <v>#REF!</v>
      </c>
      <c r="N102" s="162" t="e">
        <f>'r-in'!#REF!</f>
        <v>#REF!</v>
      </c>
      <c r="O102" s="81" t="e">
        <f>'r-in'!#REF!</f>
        <v>#REF!</v>
      </c>
      <c r="P102" s="162" t="e">
        <f>'r-in'!#REF!</f>
        <v>#REF!</v>
      </c>
      <c r="Q102" s="81" t="e">
        <f>'r-in'!#REF!</f>
        <v>#REF!</v>
      </c>
      <c r="R102" s="162" t="e">
        <f>'r-in'!#REF!</f>
        <v>#REF!</v>
      </c>
      <c r="S102" s="157" t="e">
        <f>'r-in'!#REF!</f>
        <v>#REF!</v>
      </c>
      <c r="T102" s="157" t="e">
        <f>'r-in'!#REF!</f>
        <v>#REF!</v>
      </c>
      <c r="U102" s="157" t="e">
        <f>'r-in'!#REF!</f>
        <v>#REF!</v>
      </c>
      <c r="V102" s="157" t="e">
        <f>'r-in'!#REF!</f>
        <v>#REF!</v>
      </c>
      <c r="W102" s="158" t="e">
        <v>#REF!</v>
      </c>
      <c r="X102" s="229" t="e">
        <f>$X$40 * Tb1Prim11B10B/($L$31 + $M$31*Tb1Order + IF($K$31&gt; 1,$N$31*Tb1Order^2) + IF($K$31&gt; 2,$O$31*Tb1Order^3) + IF($K$31&gt; 3,$P$31*Tb1Order^4) + IF($K$31&gt; 4,$Q$31*Tb1Order^5) + IF($K$31&gt; 5,$R$31*Tb1Order^6))</f>
        <v>#REF!</v>
      </c>
      <c r="Y102" s="387" t="e">
        <f>U102*X102</f>
        <v>#REF!</v>
      </c>
      <c r="Z102" s="387" t="e">
        <f>V102*2</f>
        <v>#REF!</v>
      </c>
      <c r="AA102" s="473" t="e">
        <f>((Y102/AV$29)-1)*1000</f>
        <v>#REF!</v>
      </c>
      <c r="AB102" s="478" t="e">
        <f>AA102-(((Y102-(Y102/100*Z102))/AV$29)-1)*1000</f>
        <v>#REF!</v>
      </c>
      <c r="AC102" s="108">
        <v>1</v>
      </c>
      <c r="AD102" s="159">
        <f>($AQ$27*$AR$27^2)/ ($AQ$28*Tb1SpotSize^2)</f>
        <v>0.57956104252400553</v>
      </c>
      <c r="AE102" s="160">
        <v>108</v>
      </c>
      <c r="AF102" s="160">
        <v>6</v>
      </c>
      <c r="AG102" s="160">
        <v>2.1</v>
      </c>
      <c r="AH102" s="303" t="e">
        <f>Q102*AD102 /($L$33 + $M$33*Tb1Order + IF($K$33&gt; 1,$N$33*Tb1Order^2) + IF($K$33&gt; 2,$O$33*Tb1Order^3) + IF($K$33&gt; 3,$P$33*Tb1Order^4) + IF($K$33&gt; 4,$Q$33*Tb1Order^5) + IF($K$33&gt; 5,$R$33*Tb1Order^6))</f>
        <v>#REF!</v>
      </c>
      <c r="AO102" s="568" t="e">
        <f>AVERAGE(O102:O116)/AVERAGE(I102:I116)</f>
        <v>#REF!</v>
      </c>
      <c r="AP102" s="568" t="e">
        <f>AVERAGE(Q102:Q116)</f>
        <v>#REF!</v>
      </c>
      <c r="AQ102" s="568">
        <f>AE102</f>
        <v>108</v>
      </c>
      <c r="AR102" s="663" t="e">
        <f>STDEV(AA102:AA116)</f>
        <v>#REF!</v>
      </c>
      <c r="AS102" s="576" t="e">
        <f>AVERAGE(AH102:AH116)</f>
        <v>#REF!</v>
      </c>
      <c r="AT102" s="660" t="e">
        <f>AVERAGE(AA102:AA116)</f>
        <v>#REF!</v>
      </c>
      <c r="AU102" s="576" t="e">
        <f>STDEV(AA102:AA116)/SQRT((COUNT(AA102:AA116)-1))</f>
        <v>#REF!</v>
      </c>
      <c r="AV102" s="736" t="e">
        <f>AVERAGE(AI102:AI116)</f>
        <v>#DIV/0!</v>
      </c>
      <c r="AW102" s="720" t="e">
        <f>AVERAGE(O102:O116)/(AVERAGE(E102:E116)-AVERAGE(O102:O116))</f>
        <v>#REF!</v>
      </c>
    </row>
    <row r="103" spans="1:49" ht="13" x14ac:dyDescent="0.15">
      <c r="A103" s="301" t="e">
        <f>'r-in'!#REF!</f>
        <v>#REF!</v>
      </c>
      <c r="B103" s="153"/>
      <c r="C103" s="162" t="e">
        <f>'r-in'!#REF!</f>
        <v>#REF!</v>
      </c>
      <c r="D103" s="162" t="e">
        <f>'r-in'!#REF!</f>
        <v>#REF!</v>
      </c>
      <c r="E103" s="81" t="e">
        <f>'r-in'!#REF!</f>
        <v>#REF!</v>
      </c>
      <c r="F103" s="162" t="e">
        <f>'r-in'!#REF!</f>
        <v>#REF!</v>
      </c>
      <c r="G103" s="81" t="e">
        <f>'r-in'!#REF!</f>
        <v>#REF!</v>
      </c>
      <c r="H103" s="162" t="e">
        <f>'r-in'!#REF!</f>
        <v>#REF!</v>
      </c>
      <c r="I103" s="81" t="e">
        <f>'r-in'!#REF!</f>
        <v>#REF!</v>
      </c>
      <c r="J103" s="162" t="e">
        <f>'r-in'!#REF!</f>
        <v>#REF!</v>
      </c>
      <c r="K103" s="81" t="e">
        <f>'r-in'!#REF!</f>
        <v>#REF!</v>
      </c>
      <c r="L103" s="162" t="e">
        <f>'r-in'!#REF!</f>
        <v>#REF!</v>
      </c>
      <c r="M103" s="81" t="e">
        <f>'r-in'!#REF!</f>
        <v>#REF!</v>
      </c>
      <c r="N103" s="162" t="e">
        <f>'r-in'!#REF!</f>
        <v>#REF!</v>
      </c>
      <c r="O103" s="81" t="e">
        <f>'r-in'!#REF!</f>
        <v>#REF!</v>
      </c>
      <c r="P103" s="162" t="e">
        <f>'r-in'!#REF!</f>
        <v>#REF!</v>
      </c>
      <c r="Q103" s="81" t="e">
        <f>'r-in'!#REF!</f>
        <v>#REF!</v>
      </c>
      <c r="R103" s="162" t="e">
        <f>'r-in'!#REF!</f>
        <v>#REF!</v>
      </c>
      <c r="S103" s="157" t="e">
        <f>'r-in'!#REF!</f>
        <v>#REF!</v>
      </c>
      <c r="T103" s="157" t="e">
        <f>'r-in'!#REF!</f>
        <v>#REF!</v>
      </c>
      <c r="U103" s="157" t="e">
        <f>'r-in'!#REF!</f>
        <v>#REF!</v>
      </c>
      <c r="V103" s="157" t="e">
        <f>'r-in'!#REF!</f>
        <v>#REF!</v>
      </c>
      <c r="W103" s="158" t="e">
        <v>#REF!</v>
      </c>
      <c r="X103" s="229" t="e">
        <f>$X$40 * Tb1Prim11B10B/($L$31 + $M$31*Tb1Order + IF($K$31&gt; 1,$N$31*Tb1Order^2) + IF($K$31&gt; 2,$O$31*Tb1Order^3) + IF($K$31&gt; 3,$P$31*Tb1Order^4) + IF($K$31&gt; 4,$Q$31*Tb1Order^5) + IF($K$31&gt; 5,$R$31*Tb1Order^6))</f>
        <v>#REF!</v>
      </c>
      <c r="Y103" s="387" t="e">
        <f>U103*X103</f>
        <v>#REF!</v>
      </c>
      <c r="Z103" s="387" t="e">
        <f>V103*2</f>
        <v>#REF!</v>
      </c>
      <c r="AA103" s="473" t="e">
        <f>((Y103/AV$29)-1)*1000</f>
        <v>#REF!</v>
      </c>
      <c r="AB103" s="478" t="e">
        <f>AA103-(((Y103-(Y103/100*Z103))/AV$29)-1)*1000</f>
        <v>#REF!</v>
      </c>
      <c r="AC103" s="108">
        <v>1</v>
      </c>
      <c r="AD103" s="159">
        <f>($AQ$27*$AR$27^2)/ ($AQ$28*Tb1SpotSize^2)</f>
        <v>0.57956104252400553</v>
      </c>
      <c r="AE103" s="160">
        <v>108</v>
      </c>
      <c r="AF103" s="160">
        <v>6</v>
      </c>
      <c r="AG103" s="160">
        <v>2.1</v>
      </c>
      <c r="AH103" s="303" t="e">
        <f>Q103*AD103 /($L$33 + $M$33*Tb1Order + IF($K$33&gt; 1,$N$33*Tb1Order^2) + IF($K$33&gt; 2,$O$33*Tb1Order^3) + IF($K$33&gt; 3,$P$33*Tb1Order^4) + IF($K$33&gt; 4,$Q$33*Tb1Order^5) + IF($K$33&gt; 5,$R$33*Tb1Order^6))</f>
        <v>#REF!</v>
      </c>
      <c r="AU103" s="14"/>
    </row>
    <row r="104" spans="1:49" ht="13" x14ac:dyDescent="0.15">
      <c r="A104" s="301" t="e">
        <f>'r-in'!#REF!</f>
        <v>#REF!</v>
      </c>
      <c r="B104" s="153"/>
      <c r="C104" s="162" t="e">
        <f>'r-in'!#REF!</f>
        <v>#REF!</v>
      </c>
      <c r="D104" s="162" t="e">
        <f>'r-in'!#REF!</f>
        <v>#REF!</v>
      </c>
      <c r="E104" s="81" t="e">
        <f>'r-in'!#REF!</f>
        <v>#REF!</v>
      </c>
      <c r="F104" s="162" t="e">
        <f>'r-in'!#REF!</f>
        <v>#REF!</v>
      </c>
      <c r="G104" s="81" t="e">
        <f>'r-in'!#REF!</f>
        <v>#REF!</v>
      </c>
      <c r="H104" s="162" t="e">
        <f>'r-in'!#REF!</f>
        <v>#REF!</v>
      </c>
      <c r="I104" s="81" t="e">
        <f>'r-in'!#REF!</f>
        <v>#REF!</v>
      </c>
      <c r="J104" s="162" t="e">
        <f>'r-in'!#REF!</f>
        <v>#REF!</v>
      </c>
      <c r="K104" s="81" t="e">
        <f>'r-in'!#REF!</f>
        <v>#REF!</v>
      </c>
      <c r="L104" s="162" t="e">
        <f>'r-in'!#REF!</f>
        <v>#REF!</v>
      </c>
      <c r="M104" s="81" t="e">
        <f>'r-in'!#REF!</f>
        <v>#REF!</v>
      </c>
      <c r="N104" s="162" t="e">
        <f>'r-in'!#REF!</f>
        <v>#REF!</v>
      </c>
      <c r="O104" s="81" t="e">
        <f>'r-in'!#REF!</f>
        <v>#REF!</v>
      </c>
      <c r="P104" s="162" t="e">
        <f>'r-in'!#REF!</f>
        <v>#REF!</v>
      </c>
      <c r="Q104" s="81" t="e">
        <f>'r-in'!#REF!</f>
        <v>#REF!</v>
      </c>
      <c r="R104" s="162" t="e">
        <f>'r-in'!#REF!</f>
        <v>#REF!</v>
      </c>
      <c r="S104" s="157" t="e">
        <f>'r-in'!#REF!</f>
        <v>#REF!</v>
      </c>
      <c r="T104" s="157" t="e">
        <f>'r-in'!#REF!</f>
        <v>#REF!</v>
      </c>
      <c r="U104" s="157" t="e">
        <f>'r-in'!#REF!</f>
        <v>#REF!</v>
      </c>
      <c r="V104" s="157" t="e">
        <f>'r-in'!#REF!</f>
        <v>#REF!</v>
      </c>
      <c r="W104" s="158" t="e">
        <v>#REF!</v>
      </c>
      <c r="X104" s="229" t="e">
        <f>$X$40 * Tb1Prim11B10B/($L$31 + $M$31*Tb1Order + IF($K$31&gt; 1,$N$31*Tb1Order^2) + IF($K$31&gt; 2,$O$31*Tb1Order^3) + IF($K$31&gt; 3,$P$31*Tb1Order^4) + IF($K$31&gt; 4,$Q$31*Tb1Order^5) + IF($K$31&gt; 5,$R$31*Tb1Order^6))</f>
        <v>#REF!</v>
      </c>
      <c r="Y104" s="387" t="e">
        <f>U104*X104</f>
        <v>#REF!</v>
      </c>
      <c r="Z104" s="387" t="e">
        <f>V104*2</f>
        <v>#REF!</v>
      </c>
      <c r="AA104" s="473" t="e">
        <f>((Y104/AV$29)-1)*1000</f>
        <v>#REF!</v>
      </c>
      <c r="AB104" s="478" t="e">
        <f>AA104-(((Y104-(Y104/100*Z104))/AV$29)-1)*1000</f>
        <v>#REF!</v>
      </c>
      <c r="AC104" s="108">
        <v>1</v>
      </c>
      <c r="AD104" s="159">
        <f>($AQ$27*$AR$27^2)/ ($AQ$28*Tb1SpotSize^2)</f>
        <v>0.57956104252400553</v>
      </c>
      <c r="AE104" s="160">
        <v>108</v>
      </c>
      <c r="AF104" s="160">
        <v>6</v>
      </c>
      <c r="AG104" s="160">
        <v>2.1</v>
      </c>
      <c r="AH104" s="303" t="e">
        <f>Q104*AD104 /($L$33 + $M$33*Tb1Order + IF($K$33&gt; 1,$N$33*Tb1Order^2) + IF($K$33&gt; 2,$O$33*Tb1Order^3) + IF($K$33&gt; 3,$P$33*Tb1Order^4) + IF($K$33&gt; 4,$Q$33*Tb1Order^5) + IF($K$33&gt; 5,$R$33*Tb1Order^6))</f>
        <v>#REF!</v>
      </c>
      <c r="AU104" s="14"/>
    </row>
    <row r="105" spans="1:49" ht="13" x14ac:dyDescent="0.15">
      <c r="A105" s="301" t="e">
        <f>'r-in'!#REF!</f>
        <v>#REF!</v>
      </c>
      <c r="B105" s="153"/>
      <c r="C105" s="162" t="e">
        <f>'r-in'!#REF!</f>
        <v>#REF!</v>
      </c>
      <c r="D105" s="162" t="e">
        <f>'r-in'!#REF!</f>
        <v>#REF!</v>
      </c>
      <c r="E105" s="81" t="e">
        <f>'r-in'!#REF!</f>
        <v>#REF!</v>
      </c>
      <c r="F105" s="162" t="e">
        <f>'r-in'!#REF!</f>
        <v>#REF!</v>
      </c>
      <c r="G105" s="81" t="e">
        <f>'r-in'!#REF!</f>
        <v>#REF!</v>
      </c>
      <c r="H105" s="162" t="e">
        <f>'r-in'!#REF!</f>
        <v>#REF!</v>
      </c>
      <c r="I105" s="81" t="e">
        <f>'r-in'!#REF!</f>
        <v>#REF!</v>
      </c>
      <c r="J105" s="162" t="e">
        <f>'r-in'!#REF!</f>
        <v>#REF!</v>
      </c>
      <c r="K105" s="81" t="e">
        <f>'r-in'!#REF!</f>
        <v>#REF!</v>
      </c>
      <c r="L105" s="162" t="e">
        <f>'r-in'!#REF!</f>
        <v>#REF!</v>
      </c>
      <c r="M105" s="81" t="e">
        <f>'r-in'!#REF!</f>
        <v>#REF!</v>
      </c>
      <c r="N105" s="162" t="e">
        <f>'r-in'!#REF!</f>
        <v>#REF!</v>
      </c>
      <c r="O105" s="81" t="e">
        <f>'r-in'!#REF!</f>
        <v>#REF!</v>
      </c>
      <c r="P105" s="162" t="e">
        <f>'r-in'!#REF!</f>
        <v>#REF!</v>
      </c>
      <c r="Q105" s="81" t="e">
        <f>'r-in'!#REF!</f>
        <v>#REF!</v>
      </c>
      <c r="R105" s="162" t="e">
        <f>'r-in'!#REF!</f>
        <v>#REF!</v>
      </c>
      <c r="S105" s="157" t="e">
        <f>'r-in'!#REF!</f>
        <v>#REF!</v>
      </c>
      <c r="T105" s="157" t="e">
        <f>'r-in'!#REF!</f>
        <v>#REF!</v>
      </c>
      <c r="U105" s="157" t="e">
        <f>'r-in'!#REF!</f>
        <v>#REF!</v>
      </c>
      <c r="V105" s="157" t="e">
        <f>'r-in'!#REF!</f>
        <v>#REF!</v>
      </c>
      <c r="W105" s="158" t="e">
        <v>#REF!</v>
      </c>
      <c r="X105" s="229" t="e">
        <f>$X$40 * Tb1Prim11B10B/($L$31 + $M$31*Tb1Order + IF($K$31&gt; 1,$N$31*Tb1Order^2) + IF($K$31&gt; 2,$O$31*Tb1Order^3) + IF($K$31&gt; 3,$P$31*Tb1Order^4) + IF($K$31&gt; 4,$Q$31*Tb1Order^5) + IF($K$31&gt; 5,$R$31*Tb1Order^6))</f>
        <v>#REF!</v>
      </c>
      <c r="Y105" s="387" t="e">
        <f>U105*X105</f>
        <v>#REF!</v>
      </c>
      <c r="Z105" s="387" t="e">
        <f>V105*2</f>
        <v>#REF!</v>
      </c>
      <c r="AA105" s="473" t="e">
        <f>((Y105/AV$29)-1)*1000</f>
        <v>#REF!</v>
      </c>
      <c r="AB105" s="478" t="e">
        <f>AA105-(((Y105-(Y105/100*Z105))/AV$29)-1)*1000</f>
        <v>#REF!</v>
      </c>
      <c r="AC105" s="108">
        <v>1</v>
      </c>
      <c r="AD105" s="159">
        <f>($AQ$27*$AR$27^2)/ ($AQ$28*Tb1SpotSize^2)</f>
        <v>0.57956104252400553</v>
      </c>
      <c r="AE105" s="160">
        <v>108</v>
      </c>
      <c r="AF105" s="160">
        <v>6</v>
      </c>
      <c r="AG105" s="160">
        <v>2.1</v>
      </c>
      <c r="AH105" s="303" t="e">
        <f>Q105*AD105 /($L$33 + $M$33*Tb1Order + IF($K$33&gt; 1,$N$33*Tb1Order^2) + IF($K$33&gt; 2,$O$33*Tb1Order^3) + IF($K$33&gt; 3,$P$33*Tb1Order^4) + IF($K$33&gt; 4,$Q$33*Tb1Order^5) + IF($K$33&gt; 5,$R$33*Tb1Order^6))</f>
        <v>#REF!</v>
      </c>
      <c r="AU105" s="14"/>
    </row>
    <row r="106" spans="1:49" ht="13" x14ac:dyDescent="0.15">
      <c r="A106" s="237"/>
      <c r="B106" s="153"/>
      <c r="C106" s="14"/>
      <c r="H106" s="257"/>
      <c r="Y106" s="445">
        <f>AGaverage(Y102:Y105)</f>
        <v>0</v>
      </c>
      <c r="Z106" s="456">
        <f>ExcsScatter(Y101:Z105)</f>
        <v>0</v>
      </c>
      <c r="AC106" s="14"/>
      <c r="AU106" s="14"/>
    </row>
    <row r="107" spans="1:49" ht="13" x14ac:dyDescent="0.15">
      <c r="A107" s="53"/>
      <c r="B107" s="182"/>
      <c r="C107" s="14"/>
      <c r="H107" s="257"/>
      <c r="Y107" s="12">
        <f>AGstdv(Y102:Y105, TRUE)</f>
        <v>0</v>
      </c>
      <c r="Z107" s="20"/>
      <c r="AA107" s="20"/>
      <c r="AB107" s="20"/>
      <c r="AC107" s="14"/>
      <c r="AU107" s="14"/>
    </row>
    <row r="108" spans="1:49" ht="13" x14ac:dyDescent="0.15">
      <c r="A108" s="53"/>
      <c r="B108" s="182"/>
      <c r="C108" s="14"/>
      <c r="H108" s="257"/>
      <c r="Y108" s="19"/>
      <c r="Z108" s="20"/>
      <c r="AA108" s="20"/>
      <c r="AB108" s="20"/>
      <c r="AC108" s="14"/>
      <c r="AU108" s="14"/>
    </row>
    <row r="109" spans="1:49" ht="13" x14ac:dyDescent="0.15">
      <c r="A109" s="53"/>
      <c r="B109" s="182"/>
      <c r="C109" s="14"/>
      <c r="H109" s="257"/>
      <c r="Y109" s="19"/>
      <c r="Z109" s="20"/>
      <c r="AA109" s="20"/>
      <c r="AB109" s="20"/>
      <c r="AC109" s="14"/>
      <c r="AU109" s="14"/>
    </row>
    <row r="110" spans="1:49" ht="13" x14ac:dyDescent="0.15">
      <c r="A110" s="237"/>
      <c r="B110" s="153"/>
      <c r="C110" s="14"/>
      <c r="H110" s="257"/>
      <c r="Y110" s="164"/>
      <c r="AC110" s="14"/>
    </row>
    <row r="111" spans="1:49" s="204" customFormat="1" ht="14" x14ac:dyDescent="0.15">
      <c r="A111" s="16" t="s">
        <v>431</v>
      </c>
      <c r="B111" s="254"/>
      <c r="E111" s="613"/>
      <c r="G111" s="613"/>
      <c r="H111" s="256"/>
      <c r="I111" s="613"/>
      <c r="K111" s="613"/>
      <c r="M111" s="613"/>
      <c r="O111" s="613"/>
      <c r="Q111" s="613"/>
      <c r="X111" s="205">
        <f>X40</f>
        <v>1</v>
      </c>
      <c r="Y111" s="17"/>
      <c r="AJ111" s="680"/>
      <c r="AK111" s="680"/>
      <c r="AL111" s="680"/>
      <c r="AM111" s="680"/>
      <c r="AT111" s="657"/>
      <c r="AU111" s="541"/>
      <c r="AW111" s="607"/>
    </row>
    <row r="112" spans="1:49" ht="13" x14ac:dyDescent="0.15">
      <c r="A112" s="301" t="e">
        <f>'r-in'!#REF!</f>
        <v>#REF!</v>
      </c>
      <c r="B112" s="153"/>
      <c r="C112" s="162" t="e">
        <f>'r-in'!#REF!</f>
        <v>#REF!</v>
      </c>
      <c r="D112" s="162" t="e">
        <f>'r-in'!#REF!</f>
        <v>#REF!</v>
      </c>
      <c r="E112" s="81" t="e">
        <f>'r-in'!#REF!</f>
        <v>#REF!</v>
      </c>
      <c r="F112" s="162" t="e">
        <f>'r-in'!#REF!</f>
        <v>#REF!</v>
      </c>
      <c r="G112" s="81" t="e">
        <f>'r-in'!#REF!</f>
        <v>#REF!</v>
      </c>
      <c r="H112" s="162" t="e">
        <f>'r-in'!#REF!</f>
        <v>#REF!</v>
      </c>
      <c r="I112" s="81" t="e">
        <f>'r-in'!#REF!</f>
        <v>#REF!</v>
      </c>
      <c r="J112" s="162" t="e">
        <f>'r-in'!#REF!</f>
        <v>#REF!</v>
      </c>
      <c r="K112" s="81" t="e">
        <f>'r-in'!#REF!</f>
        <v>#REF!</v>
      </c>
      <c r="L112" s="162" t="e">
        <f>'r-in'!#REF!</f>
        <v>#REF!</v>
      </c>
      <c r="M112" s="81" t="e">
        <f>'r-in'!#REF!</f>
        <v>#REF!</v>
      </c>
      <c r="N112" s="162" t="e">
        <f>'r-in'!#REF!</f>
        <v>#REF!</v>
      </c>
      <c r="O112" s="81" t="e">
        <f>'r-in'!#REF!</f>
        <v>#REF!</v>
      </c>
      <c r="P112" s="162" t="e">
        <f>'r-in'!#REF!</f>
        <v>#REF!</v>
      </c>
      <c r="Q112" s="81" t="e">
        <f>'r-in'!#REF!</f>
        <v>#REF!</v>
      </c>
      <c r="R112" s="162" t="e">
        <f>'r-in'!#REF!</f>
        <v>#REF!</v>
      </c>
      <c r="S112" s="157" t="e">
        <f>'r-in'!#REF!</f>
        <v>#REF!</v>
      </c>
      <c r="T112" s="157" t="e">
        <f>'r-in'!#REF!</f>
        <v>#REF!</v>
      </c>
      <c r="U112" s="157" t="e">
        <f>'r-in'!#REF!</f>
        <v>#REF!</v>
      </c>
      <c r="V112" s="157" t="e">
        <f>'r-in'!#REF!</f>
        <v>#REF!</v>
      </c>
      <c r="W112" s="158" t="e">
        <v>#REF!</v>
      </c>
      <c r="X112" s="229" t="e">
        <f>$X$40 * Tb1Prim11B10B/($L$31 + $M$31*Tb1Order + IF($K$31&gt; 1,$N$31*Tb1Order^2) + IF($K$31&gt; 2,$O$31*Tb1Order^3) + IF($K$31&gt; 3,$P$31*Tb1Order^4) + IF($K$31&gt; 4,$Q$31*Tb1Order^5) + IF($K$31&gt; 5,$R$31*Tb1Order^6))</f>
        <v>#REF!</v>
      </c>
      <c r="Y112" s="387" t="e">
        <f>U112*X112</f>
        <v>#REF!</v>
      </c>
      <c r="Z112" s="387" t="e">
        <f>V112*2</f>
        <v>#REF!</v>
      </c>
      <c r="AA112" s="473" t="e">
        <f>((Y112/AV$29)-1)*1000</f>
        <v>#REF!</v>
      </c>
      <c r="AB112" s="478" t="e">
        <f>AA112-(((Y112-(Y112/100*Z112))/AV$29)-1)*1000</f>
        <v>#REF!</v>
      </c>
      <c r="AC112" s="108">
        <v>1</v>
      </c>
      <c r="AD112" s="159">
        <f>($AQ$27*$AR$27^2)/ ($AQ$28*Tb1SpotSize^2)</f>
        <v>0.14900041878815931</v>
      </c>
      <c r="AE112" s="160">
        <v>213</v>
      </c>
      <c r="AF112" s="160">
        <v>12</v>
      </c>
      <c r="AG112" s="160">
        <v>2.1</v>
      </c>
      <c r="AH112" s="303" t="e">
        <f>Q112*AD112 /($L$33 + $M$33*Tb1Order + IF($K$33&gt; 1,$N$33*Tb1Order^2) + IF($K$33&gt; 2,$O$33*Tb1Order^3) + IF($K$33&gt; 3,$P$33*Tb1Order^4) + IF($K$33&gt; 4,$Q$33*Tb1Order^5) + IF($K$33&gt; 5,$R$33*Tb1Order^6))</f>
        <v>#REF!</v>
      </c>
    </row>
    <row r="113" spans="1:77" ht="13" x14ac:dyDescent="0.15">
      <c r="A113" s="301" t="e">
        <f>'r-in'!#REF!</f>
        <v>#REF!</v>
      </c>
      <c r="B113" s="153"/>
      <c r="C113" s="162" t="e">
        <f>'r-in'!#REF!</f>
        <v>#REF!</v>
      </c>
      <c r="D113" s="162" t="e">
        <f>'r-in'!#REF!</f>
        <v>#REF!</v>
      </c>
      <c r="E113" s="81" t="e">
        <f>'r-in'!#REF!</f>
        <v>#REF!</v>
      </c>
      <c r="F113" s="162" t="e">
        <f>'r-in'!#REF!</f>
        <v>#REF!</v>
      </c>
      <c r="G113" s="81" t="e">
        <f>'r-in'!#REF!</f>
        <v>#REF!</v>
      </c>
      <c r="H113" s="162" t="e">
        <f>'r-in'!#REF!</f>
        <v>#REF!</v>
      </c>
      <c r="I113" s="81" t="e">
        <f>'r-in'!#REF!</f>
        <v>#REF!</v>
      </c>
      <c r="J113" s="162" t="e">
        <f>'r-in'!#REF!</f>
        <v>#REF!</v>
      </c>
      <c r="K113" s="81" t="e">
        <f>'r-in'!#REF!</f>
        <v>#REF!</v>
      </c>
      <c r="L113" s="162" t="e">
        <f>'r-in'!#REF!</f>
        <v>#REF!</v>
      </c>
      <c r="M113" s="81" t="e">
        <f>'r-in'!#REF!</f>
        <v>#REF!</v>
      </c>
      <c r="N113" s="162" t="e">
        <f>'r-in'!#REF!</f>
        <v>#REF!</v>
      </c>
      <c r="O113" s="81" t="e">
        <f>'r-in'!#REF!</f>
        <v>#REF!</v>
      </c>
      <c r="P113" s="162" t="e">
        <f>'r-in'!#REF!</f>
        <v>#REF!</v>
      </c>
      <c r="Q113" s="81" t="e">
        <f>'r-in'!#REF!</f>
        <v>#REF!</v>
      </c>
      <c r="R113" s="162" t="e">
        <f>'r-in'!#REF!</f>
        <v>#REF!</v>
      </c>
      <c r="S113" s="157" t="e">
        <f>'r-in'!#REF!</f>
        <v>#REF!</v>
      </c>
      <c r="T113" s="157" t="e">
        <f>'r-in'!#REF!</f>
        <v>#REF!</v>
      </c>
      <c r="U113" s="157" t="e">
        <f>'r-in'!#REF!</f>
        <v>#REF!</v>
      </c>
      <c r="V113" s="157" t="e">
        <f>'r-in'!#REF!</f>
        <v>#REF!</v>
      </c>
      <c r="W113" s="158" t="e">
        <v>#REF!</v>
      </c>
      <c r="X113" s="229" t="e">
        <f>$X$40 * Tb1Prim11B10B/($L$31 + $M$31*Tb1Order + IF($K$31&gt; 1,$N$31*Tb1Order^2) + IF($K$31&gt; 2,$O$31*Tb1Order^3) + IF($K$31&gt; 3,$P$31*Tb1Order^4) + IF($K$31&gt; 4,$Q$31*Tb1Order^5) + IF($K$31&gt; 5,$R$31*Tb1Order^6))</f>
        <v>#REF!</v>
      </c>
      <c r="Y113" s="387" t="e">
        <f>U113*X113</f>
        <v>#REF!</v>
      </c>
      <c r="Z113" s="387" t="e">
        <f>V113*2</f>
        <v>#REF!</v>
      </c>
      <c r="AA113" s="473" t="e">
        <f>((Y113/AV$29)-1)*1000</f>
        <v>#REF!</v>
      </c>
      <c r="AB113" s="478" t="e">
        <f>AA113-(((Y113-(Y113/100*Z113))/AV$29)-1)*1000</f>
        <v>#REF!</v>
      </c>
      <c r="AC113" s="108">
        <v>1</v>
      </c>
      <c r="AD113" s="159">
        <f>($AQ$27*$AR$27^2)/ ($AQ$28*Tb1SpotSize^2)</f>
        <v>0.14900041878815931</v>
      </c>
      <c r="AE113" s="160">
        <v>213</v>
      </c>
      <c r="AF113" s="160">
        <v>12</v>
      </c>
      <c r="AG113" s="160">
        <v>2.1</v>
      </c>
      <c r="AH113" s="303" t="e">
        <f>Q113*AD113 /($L$33 + $M$33*Tb1Order + IF($K$33&gt; 1,$N$33*Tb1Order^2) + IF($K$33&gt; 2,$O$33*Tb1Order^3) + IF($K$33&gt; 3,$P$33*Tb1Order^4) + IF($K$33&gt; 4,$Q$33*Tb1Order^5) + IF($K$33&gt; 5,$R$33*Tb1Order^6))</f>
        <v>#REF!</v>
      </c>
    </row>
    <row r="114" spans="1:77" ht="13" x14ac:dyDescent="0.15">
      <c r="A114" s="301" t="e">
        <f>'r-in'!#REF!</f>
        <v>#REF!</v>
      </c>
      <c r="B114" s="153"/>
      <c r="C114" s="162" t="e">
        <f>'r-in'!#REF!</f>
        <v>#REF!</v>
      </c>
      <c r="D114" s="162" t="e">
        <f>'r-in'!#REF!</f>
        <v>#REF!</v>
      </c>
      <c r="E114" s="81" t="e">
        <f>'r-in'!#REF!</f>
        <v>#REF!</v>
      </c>
      <c r="F114" s="162" t="e">
        <f>'r-in'!#REF!</f>
        <v>#REF!</v>
      </c>
      <c r="G114" s="81" t="e">
        <f>'r-in'!#REF!</f>
        <v>#REF!</v>
      </c>
      <c r="H114" s="162" t="e">
        <f>'r-in'!#REF!</f>
        <v>#REF!</v>
      </c>
      <c r="I114" s="81" t="e">
        <f>'r-in'!#REF!</f>
        <v>#REF!</v>
      </c>
      <c r="J114" s="162" t="e">
        <f>'r-in'!#REF!</f>
        <v>#REF!</v>
      </c>
      <c r="K114" s="81" t="e">
        <f>'r-in'!#REF!</f>
        <v>#REF!</v>
      </c>
      <c r="L114" s="162" t="e">
        <f>'r-in'!#REF!</f>
        <v>#REF!</v>
      </c>
      <c r="M114" s="81" t="e">
        <f>'r-in'!#REF!</f>
        <v>#REF!</v>
      </c>
      <c r="N114" s="162" t="e">
        <f>'r-in'!#REF!</f>
        <v>#REF!</v>
      </c>
      <c r="O114" s="81" t="e">
        <f>'r-in'!#REF!</f>
        <v>#REF!</v>
      </c>
      <c r="P114" s="162" t="e">
        <f>'r-in'!#REF!</f>
        <v>#REF!</v>
      </c>
      <c r="Q114" s="81" t="e">
        <f>'r-in'!#REF!</f>
        <v>#REF!</v>
      </c>
      <c r="R114" s="162" t="e">
        <f>'r-in'!#REF!</f>
        <v>#REF!</v>
      </c>
      <c r="S114" s="157" t="e">
        <f>'r-in'!#REF!</f>
        <v>#REF!</v>
      </c>
      <c r="T114" s="157" t="e">
        <f>'r-in'!#REF!</f>
        <v>#REF!</v>
      </c>
      <c r="U114" s="157" t="e">
        <f>'r-in'!#REF!</f>
        <v>#REF!</v>
      </c>
      <c r="V114" s="157" t="e">
        <f>'r-in'!#REF!</f>
        <v>#REF!</v>
      </c>
      <c r="W114" s="158" t="e">
        <v>#REF!</v>
      </c>
      <c r="X114" s="229" t="e">
        <f>$X$40 * Tb1Prim11B10B/($L$31 + $M$31*Tb1Order + IF($K$31&gt; 1,$N$31*Tb1Order^2) + IF($K$31&gt; 2,$O$31*Tb1Order^3) + IF($K$31&gt; 3,$P$31*Tb1Order^4) + IF($K$31&gt; 4,$Q$31*Tb1Order^5) + IF($K$31&gt; 5,$R$31*Tb1Order^6))</f>
        <v>#REF!</v>
      </c>
      <c r="Y114" s="387" t="e">
        <f>U114*X114</f>
        <v>#REF!</v>
      </c>
      <c r="Z114" s="387" t="e">
        <f>V114*2</f>
        <v>#REF!</v>
      </c>
      <c r="AA114" s="473" t="e">
        <f>((Y114/AV$29)-1)*1000</f>
        <v>#REF!</v>
      </c>
      <c r="AB114" s="478" t="e">
        <f>AA114-(((Y114-(Y114/100*Z114))/AV$29)-1)*1000</f>
        <v>#REF!</v>
      </c>
      <c r="AC114" s="108">
        <v>1</v>
      </c>
      <c r="AD114" s="159">
        <f>($AQ$27*$AR$27^2)/ ($AQ$28*Tb1SpotSize^2)</f>
        <v>0.14900041878815931</v>
      </c>
      <c r="AE114" s="160">
        <v>213</v>
      </c>
      <c r="AF114" s="160">
        <v>12</v>
      </c>
      <c r="AG114" s="160">
        <v>2.1</v>
      </c>
      <c r="AH114" s="303" t="e">
        <f>Q114*AD114 /($L$33 + $M$33*Tb1Order + IF($K$33&gt; 1,$N$33*Tb1Order^2) + IF($K$33&gt; 2,$O$33*Tb1Order^3) + IF($K$33&gt; 3,$P$33*Tb1Order^4) + IF($K$33&gt; 4,$Q$33*Tb1Order^5) + IF($K$33&gt; 5,$R$33*Tb1Order^6))</f>
        <v>#REF!</v>
      </c>
    </row>
    <row r="115" spans="1:77" ht="13" x14ac:dyDescent="0.15">
      <c r="A115" s="301" t="e">
        <f>'r-in'!#REF!</f>
        <v>#REF!</v>
      </c>
      <c r="B115" s="153"/>
      <c r="C115" s="162" t="e">
        <f>'r-in'!#REF!</f>
        <v>#REF!</v>
      </c>
      <c r="D115" s="162" t="e">
        <f>'r-in'!#REF!</f>
        <v>#REF!</v>
      </c>
      <c r="E115" s="81" t="e">
        <f>'r-in'!#REF!</f>
        <v>#REF!</v>
      </c>
      <c r="F115" s="162" t="e">
        <f>'r-in'!#REF!</f>
        <v>#REF!</v>
      </c>
      <c r="G115" s="81" t="e">
        <f>'r-in'!#REF!</f>
        <v>#REF!</v>
      </c>
      <c r="H115" s="162" t="e">
        <f>'r-in'!#REF!</f>
        <v>#REF!</v>
      </c>
      <c r="I115" s="81" t="e">
        <f>'r-in'!#REF!</f>
        <v>#REF!</v>
      </c>
      <c r="J115" s="162" t="e">
        <f>'r-in'!#REF!</f>
        <v>#REF!</v>
      </c>
      <c r="K115" s="81" t="e">
        <f>'r-in'!#REF!</f>
        <v>#REF!</v>
      </c>
      <c r="L115" s="162" t="e">
        <f>'r-in'!#REF!</f>
        <v>#REF!</v>
      </c>
      <c r="M115" s="81" t="e">
        <f>'r-in'!#REF!</f>
        <v>#REF!</v>
      </c>
      <c r="N115" s="162" t="e">
        <f>'r-in'!#REF!</f>
        <v>#REF!</v>
      </c>
      <c r="O115" s="81" t="e">
        <f>'r-in'!#REF!</f>
        <v>#REF!</v>
      </c>
      <c r="P115" s="162" t="e">
        <f>'r-in'!#REF!</f>
        <v>#REF!</v>
      </c>
      <c r="Q115" s="81" t="e">
        <f>'r-in'!#REF!</f>
        <v>#REF!</v>
      </c>
      <c r="R115" s="162" t="e">
        <f>'r-in'!#REF!</f>
        <v>#REF!</v>
      </c>
      <c r="S115" s="157" t="e">
        <f>'r-in'!#REF!</f>
        <v>#REF!</v>
      </c>
      <c r="T115" s="157" t="e">
        <f>'r-in'!#REF!</f>
        <v>#REF!</v>
      </c>
      <c r="U115" s="157" t="e">
        <f>'r-in'!#REF!</f>
        <v>#REF!</v>
      </c>
      <c r="V115" s="157" t="e">
        <f>'r-in'!#REF!</f>
        <v>#REF!</v>
      </c>
      <c r="W115" s="158" t="e">
        <v>#REF!</v>
      </c>
      <c r="X115" s="229" t="e">
        <f>$X$40 * Tb1Prim11B10B/($L$31 + $M$31*Tb1Order + IF($K$31&gt; 1,$N$31*Tb1Order^2) + IF($K$31&gt; 2,$O$31*Tb1Order^3) + IF($K$31&gt; 3,$P$31*Tb1Order^4) + IF($K$31&gt; 4,$Q$31*Tb1Order^5) + IF($K$31&gt; 5,$R$31*Tb1Order^6))</f>
        <v>#REF!</v>
      </c>
      <c r="Y115" s="387" t="e">
        <f>U115*X115</f>
        <v>#REF!</v>
      </c>
      <c r="Z115" s="387" t="e">
        <f>V115*2</f>
        <v>#REF!</v>
      </c>
      <c r="AA115" s="473" t="e">
        <f>((Y115/AV$29)-1)*1000</f>
        <v>#REF!</v>
      </c>
      <c r="AB115" s="478" t="e">
        <f>AA115-(((Y115-(Y115/100*Z115))/AV$29)-1)*1000</f>
        <v>#REF!</v>
      </c>
      <c r="AC115" s="108">
        <v>1</v>
      </c>
      <c r="AD115" s="159">
        <f>($AQ$27*$AR$27^2)/ ($AQ$28*Tb1SpotSize^2)</f>
        <v>0.14900041878815931</v>
      </c>
      <c r="AE115" s="160">
        <v>213</v>
      </c>
      <c r="AF115" s="160">
        <v>12</v>
      </c>
      <c r="AG115" s="160">
        <v>2.1</v>
      </c>
      <c r="AH115" s="303" t="e">
        <f>Q115*AD115 /($L$33 + $M$33*Tb1Order + IF($K$33&gt; 1,$N$33*Tb1Order^2) + IF($K$33&gt; 2,$O$33*Tb1Order^3) + IF($K$33&gt; 3,$P$33*Tb1Order^4) + IF($K$33&gt; 4,$Q$33*Tb1Order^5) + IF($K$33&gt; 5,$R$33*Tb1Order^6))</f>
        <v>#REF!</v>
      </c>
    </row>
    <row r="116" spans="1:77" ht="13" x14ac:dyDescent="0.15">
      <c r="A116" s="237"/>
      <c r="B116" s="153"/>
      <c r="C116" s="14"/>
      <c r="H116" s="257"/>
      <c r="Y116" s="445">
        <f>AGaverage(Y112:Y115)</f>
        <v>0</v>
      </c>
      <c r="Z116" s="456">
        <f>ExcsScatter(Y111:Z115)</f>
        <v>0</v>
      </c>
      <c r="AC116" s="14"/>
      <c r="BG116" s="14">
        <v>50</v>
      </c>
      <c r="BH116" s="14">
        <v>4</v>
      </c>
    </row>
    <row r="117" spans="1:77" ht="13" x14ac:dyDescent="0.15">
      <c r="A117" s="237"/>
      <c r="B117" s="153"/>
      <c r="C117" s="14"/>
      <c r="H117" s="257"/>
      <c r="Y117" s="12">
        <f>AGstdv(Y112:Y115, TRUE)</f>
        <v>0</v>
      </c>
      <c r="Z117" s="20"/>
      <c r="AA117" s="20"/>
      <c r="AB117" s="20"/>
      <c r="AC117" s="14"/>
      <c r="BG117" s="14">
        <v>90</v>
      </c>
      <c r="BH117" s="14">
        <v>2</v>
      </c>
    </row>
    <row r="118" spans="1:77" ht="13" x14ac:dyDescent="0.15">
      <c r="A118" s="237"/>
      <c r="B118" s="153"/>
      <c r="C118" s="14"/>
      <c r="H118" s="257"/>
      <c r="Y118" s="164"/>
      <c r="AC118" s="14"/>
      <c r="BG118" s="14">
        <v>130</v>
      </c>
      <c r="BH118" s="14">
        <v>-1</v>
      </c>
    </row>
    <row r="119" spans="1:77" ht="13" x14ac:dyDescent="0.15">
      <c r="A119" s="237"/>
      <c r="B119" s="153"/>
      <c r="C119" s="14"/>
      <c r="H119" s="257"/>
      <c r="O119" s="587">
        <f>4500/1.134</f>
        <v>3968.2539682539687</v>
      </c>
      <c r="V119" s="173"/>
      <c r="X119" s="155">
        <v>1</v>
      </c>
      <c r="Y119" s="662">
        <f>Tb1Prim11B10B/($L$31 + $M$31*Tb1Order + IF($K$31&gt; 1,$N$31*Tb1Order^2) + IF($K$31&gt; 2,$O$31*Tb1Order^3) + IF($K$31&gt; 3,$P$31*Tb1Order^4) + IF($K$31&gt; 4,$Q$31*Tb1Order^5) + IF($K$31&gt; 5,$R$31*Tb1Order^6))</f>
        <v>0.88116651285656078</v>
      </c>
      <c r="Z119" s="22" t="s">
        <v>546</v>
      </c>
      <c r="AA119" s="22" t="s">
        <v>531</v>
      </c>
      <c r="AB119" s="205">
        <v>1.0089999999999999</v>
      </c>
      <c r="AC119" s="669">
        <f>$X$61 * Tb1Prim11B10B/($L$31 + $M$31*Tb1Order + IF($K$31&gt; 1,$N$31*Tb1Order^2) + IF($K$31&gt; 2,$O$31*Tb1Order^3) + IF($K$31&gt; 3,$P$31*Tb1Order^4) + IF($K$31&gt; 4,$Q$31*Tb1Order^5) + IF($K$31&gt; 5,$R$31*Tb1Order^6))</f>
        <v>0.88116651285656078</v>
      </c>
      <c r="AD119" s="161" t="s">
        <v>561</v>
      </c>
      <c r="AE119" s="257" t="s">
        <v>531</v>
      </c>
    </row>
    <row r="120" spans="1:77" ht="13" x14ac:dyDescent="0.15">
      <c r="A120" s="237"/>
      <c r="B120" s="153"/>
      <c r="C120" s="14"/>
      <c r="H120" s="257"/>
      <c r="X120" s="661">
        <f>X61</f>
        <v>1</v>
      </c>
      <c r="Y120" s="638">
        <f>$X$61 * Tb1Prim11B10B/($L$31 + $M$31*Tb1Order + IF($K$31&gt; 1,$N$31*Tb1Order^2) + IF($K$31&gt; 2,$O$31*Tb1Order^3) + IF($K$31&gt; 3,$P$31*Tb1Order^4) + IF($K$31&gt; 4,$Q$31*Tb1Order^5) + IF($K$31&gt; 5,$R$31*Tb1Order^6))</f>
        <v>0.88116651285656078</v>
      </c>
      <c r="Z120" s="161" t="s">
        <v>532</v>
      </c>
      <c r="AA120" s="257" t="s">
        <v>545</v>
      </c>
      <c r="AC120" s="14"/>
      <c r="AH120" s="204"/>
    </row>
    <row r="121" spans="1:77" s="437" customFormat="1" ht="13" x14ac:dyDescent="0.15">
      <c r="A121" s="240"/>
      <c r="B121" s="258"/>
      <c r="C121" s="258"/>
      <c r="D121" s="240"/>
      <c r="E121" s="622"/>
      <c r="F121" s="240"/>
      <c r="G121" s="622"/>
      <c r="H121" s="258"/>
      <c r="I121" s="622"/>
      <c r="J121" s="240"/>
      <c r="K121" s="622"/>
      <c r="L121" s="240"/>
      <c r="M121" s="622"/>
      <c r="N121" s="240"/>
      <c r="O121" s="622"/>
      <c r="P121" s="240"/>
      <c r="Q121" s="622"/>
      <c r="R121" s="240"/>
      <c r="S121" s="240"/>
      <c r="T121" s="240"/>
      <c r="U121" s="240"/>
      <c r="V121" s="240"/>
      <c r="W121" s="240"/>
      <c r="X121" s="205">
        <f>X81</f>
        <v>0</v>
      </c>
      <c r="Y121" s="591">
        <f>$X$61 * Tb1Prim11B10B/($L$31 + $M$31*Tb1Order + IF($K$31&gt; 1,$N$31*Tb1Order^2) + IF($K$31&gt; 2,$O$31*Tb1Order^3) + IF($K$31&gt; 3,$P$31*Tb1Order^4) + IF($K$31&gt; 4,$Q$31*Tb1Order^5) + IF($K$31&gt; 5,$R$31*Tb1Order^6))</f>
        <v>0.88116651285656078</v>
      </c>
      <c r="Z121" s="161" t="s">
        <v>248</v>
      </c>
      <c r="AA121" s="257" t="s">
        <v>531</v>
      </c>
      <c r="AC121" s="240"/>
      <c r="AD121" s="240"/>
      <c r="AE121" s="240"/>
      <c r="AF121" s="240"/>
      <c r="AG121" s="240"/>
      <c r="AH121" s="240"/>
      <c r="AI121" s="437">
        <v>40</v>
      </c>
      <c r="AN121" s="698">
        <f>X127</f>
        <v>0</v>
      </c>
      <c r="AO121" s="437">
        <f>AI121*AI121*AI121</f>
        <v>64000</v>
      </c>
      <c r="AP121" s="14">
        <f>AO121/AO121</f>
        <v>1</v>
      </c>
      <c r="AT121" s="658"/>
      <c r="AU121" s="542"/>
      <c r="AW121" s="608"/>
    </row>
    <row r="122" spans="1:77" ht="17.25" customHeight="1" x14ac:dyDescent="0.15">
      <c r="A122" s="53"/>
      <c r="B122" s="53"/>
      <c r="C122" s="53"/>
      <c r="D122" s="53"/>
      <c r="E122" s="463"/>
      <c r="F122" s="53"/>
      <c r="G122" s="463"/>
      <c r="H122" s="182"/>
      <c r="I122" s="463"/>
      <c r="J122" s="53"/>
      <c r="K122" s="463"/>
      <c r="L122" s="53"/>
      <c r="M122" s="463"/>
      <c r="N122" s="53"/>
      <c r="O122" s="463"/>
      <c r="P122" s="53"/>
      <c r="Q122" s="463"/>
      <c r="R122" s="53"/>
      <c r="S122" s="53"/>
      <c r="T122" s="53"/>
      <c r="U122" s="589" t="e">
        <f>#REF!*#REF!</f>
        <v>#REF!</v>
      </c>
      <c r="V122" s="589" t="e">
        <f>#REF!</f>
        <v>#REF!</v>
      </c>
      <c r="W122" s="53"/>
      <c r="X122" s="205">
        <f>X40</f>
        <v>1</v>
      </c>
      <c r="Y122" s="229">
        <f>$X$40 * Tb1Prim11B10B/($L$31 + $M$31*Tb1Order + IF($K$31&gt; 1,$N$31*Tb1Order^2) + IF($K$31&gt; 2,$O$31*Tb1Order^3) + IF($K$31&gt; 3,$P$31*Tb1Order^4) + IF($K$31&gt; 4,$Q$31*Tb1Order^5) + IF($K$31&gt; 5,$R$31*Tb1Order^6))</f>
        <v>0.88116651285656078</v>
      </c>
      <c r="Z122" s="257" t="s">
        <v>491</v>
      </c>
      <c r="AA122" s="257" t="s">
        <v>531</v>
      </c>
      <c r="AB122" s="166"/>
      <c r="AC122" s="53"/>
      <c r="AD122" s="53"/>
      <c r="AE122" s="53"/>
      <c r="AF122" s="53"/>
      <c r="AG122" s="53"/>
      <c r="AH122" s="53"/>
      <c r="AI122" s="14">
        <v>60</v>
      </c>
      <c r="AN122" s="252">
        <f>X126</f>
        <v>1</v>
      </c>
      <c r="AO122" s="437">
        <f t="shared" ref="AO122:AO124" si="92">AI122*AI122*AI122</f>
        <v>216000</v>
      </c>
      <c r="AP122" s="14">
        <f>AO122/AO121</f>
        <v>3.375</v>
      </c>
      <c r="AZ122" s="555"/>
      <c r="BA122" s="556"/>
      <c r="BB122" s="556"/>
      <c r="BC122" s="556"/>
      <c r="BD122" s="556"/>
      <c r="BE122" s="557"/>
      <c r="BF122" s="556"/>
      <c r="BG122" s="556"/>
      <c r="BH122" s="556"/>
      <c r="BI122" s="556"/>
      <c r="BJ122" s="556"/>
      <c r="BK122" s="556"/>
      <c r="BL122" s="556"/>
      <c r="BM122" s="164"/>
    </row>
    <row r="123" spans="1:77" ht="15" customHeight="1" x14ac:dyDescent="0.2">
      <c r="A123" s="53"/>
      <c r="B123" s="53"/>
      <c r="C123" s="166"/>
      <c r="D123" s="166"/>
      <c r="E123" s="629"/>
      <c r="F123" s="166"/>
      <c r="G123" s="629"/>
      <c r="H123" s="167"/>
      <c r="I123" s="629"/>
      <c r="J123" s="166"/>
      <c r="K123" s="629"/>
      <c r="L123" s="166"/>
      <c r="M123" s="629"/>
      <c r="N123" s="166"/>
      <c r="O123" s="629"/>
      <c r="P123" s="166"/>
      <c r="Q123" s="629"/>
      <c r="R123" s="166"/>
      <c r="S123" s="166"/>
      <c r="T123" s="166"/>
      <c r="U123" s="387">
        <f>S126*X126</f>
        <v>0</v>
      </c>
      <c r="V123" s="387">
        <f>T126</f>
        <v>0</v>
      </c>
      <c r="W123" s="166"/>
      <c r="X123" s="173">
        <v>0.99950000000000006</v>
      </c>
      <c r="Y123" s="621">
        <f>$X$127 * $X$123 * Tb1Prim11B10B/($L$31 + $M$31*Tb1Order + IF($K$31&gt; 1,$N$31*Tb1Order^2) + IF($K$31&gt; 2,$O$31*Tb1Order^3) + IF($K$31&gt; 3,$P$31*Tb1Order^4) + IF($K$31&gt; 4,$Q$31*Tb1Order^5) + IF($K$31&gt; 5,$R$31*Tb1Order^6))</f>
        <v>0</v>
      </c>
      <c r="Z123" s="257" t="s">
        <v>492</v>
      </c>
      <c r="AA123" s="173" t="s">
        <v>529</v>
      </c>
      <c r="AB123" s="53"/>
      <c r="AC123" s="168"/>
      <c r="AD123" s="166"/>
      <c r="AE123" s="166"/>
      <c r="AF123" s="166"/>
      <c r="AG123" s="166"/>
      <c r="AH123" s="53"/>
      <c r="AI123" s="14">
        <v>108</v>
      </c>
      <c r="AN123" s="14">
        <f>0.0012*6+AN121</f>
        <v>7.1999999999999998E-3</v>
      </c>
      <c r="AO123" s="437">
        <f t="shared" si="92"/>
        <v>1259712</v>
      </c>
      <c r="AP123" s="14">
        <f>AO123/AO121</f>
        <v>19.683</v>
      </c>
      <c r="AT123" s="14"/>
      <c r="AU123" s="14"/>
      <c r="AW123" s="14"/>
      <c r="AY123" s="169"/>
      <c r="AZ123" s="555"/>
      <c r="BA123" s="558"/>
      <c r="BB123" s="558"/>
      <c r="BC123" s="555"/>
      <c r="BD123" s="555"/>
      <c r="BE123" s="555"/>
      <c r="BF123" s="555"/>
      <c r="BG123" s="555"/>
      <c r="BH123" s="555"/>
      <c r="BI123" s="555"/>
      <c r="BJ123" s="555"/>
      <c r="BK123" s="555"/>
      <c r="BL123" s="555"/>
      <c r="BM123" s="561"/>
      <c r="BN123" s="169"/>
      <c r="BO123" s="169"/>
      <c r="BP123" s="169"/>
    </row>
    <row r="124" spans="1:77" ht="15" customHeight="1" x14ac:dyDescent="0.2">
      <c r="A124" s="53"/>
      <c r="B124" s="53"/>
      <c r="C124" s="166"/>
      <c r="D124" s="166"/>
      <c r="E124" s="629"/>
      <c r="F124" s="166"/>
      <c r="G124" s="629"/>
      <c r="H124" s="167"/>
      <c r="I124" s="629"/>
      <c r="J124" s="166"/>
      <c r="K124" s="629"/>
      <c r="L124" s="166"/>
      <c r="M124" s="629"/>
      <c r="N124" s="166"/>
      <c r="O124" s="629"/>
      <c r="P124" s="166"/>
      <c r="Q124" s="629"/>
      <c r="R124" s="166"/>
      <c r="S124" s="166"/>
      <c r="T124" s="166"/>
      <c r="U124" s="685"/>
      <c r="V124" s="685"/>
      <c r="W124" s="166"/>
      <c r="X124" s="684"/>
      <c r="Y124" s="685"/>
      <c r="Z124" s="182"/>
      <c r="AA124" s="684"/>
      <c r="AB124" s="53"/>
      <c r="AC124" s="686"/>
      <c r="AD124" s="166"/>
      <c r="AE124" s="166"/>
      <c r="AF124" s="166"/>
      <c r="AG124" s="166"/>
      <c r="AH124" s="53"/>
      <c r="AI124" s="14">
        <v>160</v>
      </c>
      <c r="AO124" s="437">
        <f t="shared" si="92"/>
        <v>4096000</v>
      </c>
      <c r="AP124" s="14">
        <f>AO124/AO121</f>
        <v>64</v>
      </c>
      <c r="AT124" s="14"/>
      <c r="AU124" s="14"/>
      <c r="AW124" s="14"/>
      <c r="AY124" s="169"/>
      <c r="AZ124" s="555"/>
      <c r="BA124" s="558"/>
      <c r="BB124" s="558"/>
      <c r="BC124" s="555"/>
      <c r="BD124" s="555"/>
      <c r="BE124" s="555"/>
      <c r="BF124" s="555"/>
      <c r="BG124" s="555"/>
      <c r="BH124" s="555"/>
      <c r="BI124" s="555"/>
      <c r="BJ124" s="555"/>
      <c r="BK124" s="555"/>
      <c r="BL124" s="555"/>
      <c r="BM124" s="561"/>
      <c r="BN124" s="169"/>
      <c r="BO124" s="169"/>
      <c r="BP124" s="169"/>
    </row>
    <row r="125" spans="1:77" ht="15" customHeight="1" x14ac:dyDescent="0.2">
      <c r="A125" s="53"/>
      <c r="B125" s="53"/>
      <c r="C125" s="166"/>
      <c r="D125" s="166"/>
      <c r="E125" s="629"/>
      <c r="F125" s="166"/>
      <c r="G125" s="629"/>
      <c r="H125" s="167"/>
      <c r="I125" s="629"/>
      <c r="J125" s="166"/>
      <c r="K125" s="629"/>
      <c r="L125" s="166"/>
      <c r="M125" s="629"/>
      <c r="N125" s="166"/>
      <c r="O125" s="629"/>
      <c r="P125" s="166"/>
      <c r="Q125" s="629"/>
      <c r="R125" s="166"/>
      <c r="S125" s="166"/>
      <c r="T125" s="166"/>
      <c r="U125" s="685"/>
      <c r="V125" s="685"/>
      <c r="W125" s="166"/>
      <c r="X125" s="688">
        <v>1</v>
      </c>
      <c r="Y125" s="687" t="s">
        <v>597</v>
      </c>
      <c r="Z125" s="182"/>
      <c r="AA125" s="684"/>
      <c r="AB125" s="53"/>
      <c r="AC125" s="686"/>
      <c r="AD125" s="166"/>
      <c r="AE125" s="166"/>
      <c r="AF125" s="166"/>
      <c r="AG125" s="166"/>
      <c r="AH125" s="53"/>
      <c r="AI125" s="14">
        <v>235</v>
      </c>
      <c r="AT125" s="14"/>
      <c r="AU125" s="14"/>
      <c r="AW125" s="14"/>
      <c r="AY125" s="169"/>
      <c r="AZ125" s="555"/>
      <c r="BA125" s="558"/>
      <c r="BB125" s="558"/>
      <c r="BC125" s="555"/>
      <c r="BD125" s="555"/>
      <c r="BE125" s="555"/>
      <c r="BF125" s="555"/>
      <c r="BG125" s="555"/>
      <c r="BH125" s="555"/>
      <c r="BI125" s="555"/>
      <c r="BJ125" s="555"/>
      <c r="BK125" s="555"/>
      <c r="BL125" s="555"/>
      <c r="BM125" s="561"/>
      <c r="BN125" s="169"/>
      <c r="BO125" s="169"/>
      <c r="BP125" s="169"/>
    </row>
    <row r="126" spans="1:77" s="169" customFormat="1" ht="15" customHeight="1" x14ac:dyDescent="0.2">
      <c r="A126" s="53"/>
      <c r="B126" s="53"/>
      <c r="C126" s="53"/>
      <c r="D126" s="53"/>
      <c r="E126" s="463"/>
      <c r="F126" s="53"/>
      <c r="G126" s="463"/>
      <c r="H126" s="182"/>
      <c r="I126" s="463"/>
      <c r="J126" s="53"/>
      <c r="K126" s="463"/>
      <c r="L126" s="53"/>
      <c r="M126" s="463"/>
      <c r="N126" s="53"/>
      <c r="O126" s="463"/>
      <c r="P126" s="53"/>
      <c r="Q126" s="463"/>
      <c r="R126" s="53"/>
      <c r="S126" s="53"/>
      <c r="T126" s="53"/>
      <c r="U126" s="53"/>
      <c r="V126" s="53"/>
      <c r="W126" s="53"/>
      <c r="X126" s="689">
        <f>X61</f>
        <v>1</v>
      </c>
      <c r="Y126" s="683" t="s">
        <v>598</v>
      </c>
      <c r="AA126" s="53"/>
      <c r="AB126" s="53"/>
      <c r="AC126" s="170"/>
      <c r="AD126" s="53"/>
      <c r="AE126" s="53"/>
      <c r="AF126" s="53"/>
      <c r="AG126" s="53"/>
      <c r="AH126" s="53"/>
      <c r="AJ126" s="792" t="s">
        <v>602</v>
      </c>
      <c r="AK126" s="792"/>
      <c r="AL126" s="792"/>
      <c r="AM126" s="792"/>
      <c r="AP126" s="686"/>
      <c r="AQ126" s="166"/>
      <c r="AR126" s="166"/>
      <c r="AS126" s="166"/>
      <c r="AT126" s="166"/>
      <c r="AU126" s="166"/>
      <c r="AV126" s="765"/>
      <c r="AW126" s="766"/>
      <c r="AX126" s="166"/>
      <c r="AY126" s="767"/>
      <c r="AZ126" s="767"/>
      <c r="BA126" s="767"/>
      <c r="BB126" s="767"/>
      <c r="BC126" s="767"/>
      <c r="BD126" s="767"/>
      <c r="BE126" s="767"/>
      <c r="BF126" s="767"/>
      <c r="BG126" s="767"/>
      <c r="BH126" s="767"/>
      <c r="BI126" s="767"/>
      <c r="BJ126" s="767"/>
      <c r="BK126" s="767"/>
      <c r="BL126" s="767"/>
      <c r="BM126" s="767"/>
      <c r="BN126" s="8"/>
      <c r="BO126" s="8"/>
      <c r="BP126" s="8"/>
    </row>
    <row r="127" spans="1:77" s="204" customFormat="1" ht="15" customHeight="1" x14ac:dyDescent="0.15">
      <c r="A127" s="171" t="s">
        <v>16</v>
      </c>
      <c r="B127" s="172"/>
      <c r="C127" s="261"/>
      <c r="D127" s="261"/>
      <c r="E127" s="260"/>
      <c r="F127" s="260"/>
      <c r="G127" s="260"/>
      <c r="H127" s="262"/>
      <c r="I127" s="260"/>
      <c r="J127" s="263"/>
      <c r="K127" s="260"/>
      <c r="L127" s="263"/>
      <c r="M127" s="260"/>
      <c r="N127" s="263"/>
      <c r="O127" s="260"/>
      <c r="P127" s="263"/>
      <c r="Q127" s="260"/>
      <c r="R127" s="263"/>
      <c r="S127" s="263"/>
      <c r="T127" s="263"/>
      <c r="U127" s="263"/>
      <c r="V127" s="263"/>
      <c r="W127" s="259"/>
      <c r="X127" s="754"/>
      <c r="Y127" s="683"/>
      <c r="Z127" s="263"/>
      <c r="AA127" s="263"/>
      <c r="AB127" s="263"/>
      <c r="AC127" s="260"/>
      <c r="AD127" s="264">
        <v>1</v>
      </c>
      <c r="AE127" s="265"/>
      <c r="AF127" s="265"/>
      <c r="AG127" s="265"/>
      <c r="AH127" s="259"/>
      <c r="AI127" s="232">
        <f>6.4*4*6</f>
        <v>153.60000000000002</v>
      </c>
      <c r="AJ127" s="748" t="s">
        <v>587</v>
      </c>
      <c r="AK127" s="749" t="s">
        <v>588</v>
      </c>
      <c r="AL127" s="747" t="s">
        <v>444</v>
      </c>
      <c r="AM127" s="747" t="s">
        <v>603</v>
      </c>
      <c r="AP127" s="316"/>
      <c r="AQ127" s="109"/>
      <c r="AR127" s="109"/>
      <c r="AS127" s="109"/>
      <c r="AT127" s="768"/>
      <c r="AU127" s="538"/>
      <c r="AV127" s="316"/>
      <c r="AW127" s="109"/>
      <c r="AX127" s="251"/>
      <c r="AY127" s="316"/>
      <c r="AZ127" s="53"/>
      <c r="BA127" s="109"/>
      <c r="BB127" s="109"/>
      <c r="BC127" s="109"/>
      <c r="BD127" s="109"/>
      <c r="BE127" s="538"/>
      <c r="BF127" s="316"/>
      <c r="BG127" s="109"/>
      <c r="BH127" s="251"/>
      <c r="BI127" s="725"/>
      <c r="BJ127" s="725"/>
      <c r="BK127" s="230"/>
      <c r="BL127" s="634"/>
      <c r="BM127" s="724"/>
      <c r="BN127" s="475"/>
      <c r="BO127" s="475"/>
      <c r="BP127" s="10"/>
    </row>
    <row r="128" spans="1:77" ht="15" customHeight="1" x14ac:dyDescent="0.2">
      <c r="A128" s="782" t="str">
        <f>'r-in'!A82</f>
        <v>009_U</v>
      </c>
      <c r="B128" s="706" t="s">
        <v>918</v>
      </c>
      <c r="C128" s="162">
        <f>'r-in'!P82</f>
        <v>147.6329562276525</v>
      </c>
      <c r="D128" s="162">
        <f>'r-in'!Q82</f>
        <v>113.17505851727282</v>
      </c>
      <c r="E128" s="81">
        <f>'r-in'!R82</f>
        <v>414705.73841659963</v>
      </c>
      <c r="F128" s="162">
        <f>'r-in'!S82</f>
        <v>3.1939348991256282</v>
      </c>
      <c r="G128" s="81">
        <f>'r-in'!T82</f>
        <v>158.39665536779685</v>
      </c>
      <c r="H128" s="162">
        <f>'r-in'!U82</f>
        <v>96.602100574368734</v>
      </c>
      <c r="I128" s="81">
        <f>'r-in'!V82</f>
        <v>152.55540045723561</v>
      </c>
      <c r="J128" s="162">
        <f>'r-in'!W82</f>
        <v>77.777317516908923</v>
      </c>
      <c r="K128" s="81">
        <f>'r-in'!X82</f>
        <v>1819981.5353269193</v>
      </c>
      <c r="L128" s="162">
        <f>'r-in'!Y82</f>
        <v>3.3752206358271333</v>
      </c>
      <c r="M128" s="81">
        <f>'r-in'!Z82</f>
        <v>940.7382707823499</v>
      </c>
      <c r="N128" s="162">
        <f>'r-in'!AA82</f>
        <v>23.702207751542343</v>
      </c>
      <c r="O128" s="81">
        <f>'r-in'!AB82</f>
        <v>375736.53149290895</v>
      </c>
      <c r="P128" s="162">
        <f>'r-in'!AC82</f>
        <v>3.5275121945626768</v>
      </c>
      <c r="Q128" s="81">
        <f>'r-in'!AD82</f>
        <v>1733585.4274332703</v>
      </c>
      <c r="R128" s="162">
        <f>'r-in'!AE82</f>
        <v>3.5422106068978358</v>
      </c>
      <c r="S128" s="157">
        <f>'r-in'!AF82</f>
        <v>4.6108164764009167</v>
      </c>
      <c r="T128" s="157">
        <f>'r-in'!AG82</f>
        <v>5.2646218434860587E-2</v>
      </c>
      <c r="U128" s="157">
        <f>'r-in'!AH82</f>
        <v>4.6118240867895901</v>
      </c>
      <c r="V128" s="157">
        <f>'r-in'!AI82</f>
        <v>6.1767532400763034E-2</v>
      </c>
      <c r="W128" s="158">
        <v>9</v>
      </c>
      <c r="X128" s="764">
        <f t="shared" ref="X128:X191" si="93">$X$125 * Tb1Prim11B10B/($L$31 + $M$31*Tb1Order + IF($K$31&gt; 1,$N$31*Tb1Order^2) + IF($K$31&gt; 2,$O$31*Tb1Order^3) + IF($K$31&gt; 3,$P$31*Tb1Order^4) + IF($K$31&gt; 4,$Q$31*Tb1Order^5) + IF($K$31&gt; 5,$R$31*Tb1Order^6))</f>
        <v>0.88076603507473039</v>
      </c>
      <c r="Y128" s="387">
        <f t="shared" ref="Y128:Y129" si="94">U128*X128</f>
        <v>4.0619380153838067</v>
      </c>
      <c r="Z128" s="640">
        <f t="shared" ref="Z128:Z129" si="95">T128</f>
        <v>5.2646218434860587E-2</v>
      </c>
      <c r="AA128" s="473">
        <f>((Y128/AZ$29)-1)*1000</f>
        <v>1.8345086653857035</v>
      </c>
      <c r="AB128" s="478">
        <f>AA128-(((Y128-(Y128/100*Z128))/AZ$29)-1)*1000</f>
        <v>0.52742798378768718</v>
      </c>
      <c r="AC128" s="108">
        <v>1</v>
      </c>
      <c r="AD128" s="159">
        <f t="shared" ref="AD128:AD191" si="96">($AQ$27*$AR$27^2)/ (35*Tb1SpotSize^2)/$AD$127</f>
        <v>0.71534391534391539</v>
      </c>
      <c r="AE128" s="160">
        <v>90</v>
      </c>
      <c r="AF128" s="160">
        <v>14</v>
      </c>
      <c r="AG128" s="160">
        <v>2.1</v>
      </c>
      <c r="AH128" s="303">
        <f t="shared" ref="AH128:AH129" si="97">Q128*AD128*$AH$18 /($L$33 + $M$33*Tb1Order + IF($K$33&gt; 1,$N$33*Tb1Order^2) + IF($K$33&gt; 2,$O$33*Tb1Order^3) + IF($K$33&gt; 3,$P$33*Tb1Order^4) + IF($K$33&gt; 4,$Q$33*Tb1Order^5) + IF($K$33&gt; 5,$R$33*Tb1Order^6))</f>
        <v>4.5889883910130562</v>
      </c>
      <c r="AI128" s="86">
        <f>Q128/M128</f>
        <v>1842.7924974196721</v>
      </c>
      <c r="AJ128" s="86"/>
      <c r="AK128" s="86"/>
      <c r="AL128" s="775">
        <f>AGaverage(AA128:AA142)</f>
        <v>3.7954371827252591</v>
      </c>
      <c r="AM128" s="775">
        <f>STDEV(AA128:AA142)/(COUNT(AA128:AA142)-1)^0.5</f>
        <v>0.33497602911519875</v>
      </c>
      <c r="AN128" s="573"/>
      <c r="AP128" s="53"/>
      <c r="AQ128" s="570"/>
      <c r="AR128" s="570"/>
      <c r="AS128" s="723"/>
      <c r="AT128" s="723"/>
      <c r="AU128" s="723"/>
      <c r="AV128" s="624"/>
      <c r="AW128" s="570"/>
      <c r="AX128" s="769"/>
      <c r="AY128" s="53"/>
      <c r="AZ128" s="570"/>
      <c r="BA128" s="770"/>
      <c r="BB128" s="570"/>
      <c r="BC128" s="723"/>
      <c r="BD128" s="723"/>
      <c r="BE128" s="723"/>
      <c r="BF128" s="624"/>
      <c r="BG128" s="570"/>
      <c r="BH128" s="769"/>
      <c r="BI128" s="725"/>
      <c r="BJ128" s="725"/>
      <c r="BK128" s="725"/>
      <c r="BL128" s="634"/>
      <c r="BM128" s="724"/>
      <c r="BN128" s="475"/>
      <c r="BO128" s="475"/>
      <c r="BP128" s="10"/>
      <c r="BY128" s="14">
        <v>9.9860000000000007</v>
      </c>
    </row>
    <row r="129" spans="1:77" ht="15" customHeight="1" x14ac:dyDescent="0.2">
      <c r="A129" s="782" t="str">
        <f>'r-in'!A83</f>
        <v>010_U</v>
      </c>
      <c r="B129" s="706" t="s">
        <v>918</v>
      </c>
      <c r="C129" s="162">
        <f>'r-in'!P83</f>
        <v>101.87930653521649</v>
      </c>
      <c r="D129" s="162">
        <f>'r-in'!Q83</f>
        <v>173.12002519483576</v>
      </c>
      <c r="E129" s="81">
        <f>'r-in'!R83</f>
        <v>440566.61518899794</v>
      </c>
      <c r="F129" s="162">
        <f>'r-in'!S83</f>
        <v>3.2407477281577264</v>
      </c>
      <c r="G129" s="81">
        <f>'r-in'!T83</f>
        <v>297.42520885183404</v>
      </c>
      <c r="H129" s="162">
        <f>'r-in'!U83</f>
        <v>51.479907505662709</v>
      </c>
      <c r="I129" s="81">
        <f>'r-in'!V83</f>
        <v>191.30616489909224</v>
      </c>
      <c r="J129" s="162">
        <f>'r-in'!W83</f>
        <v>61.695558612437466</v>
      </c>
      <c r="K129" s="81">
        <f>'r-in'!X83</f>
        <v>1940597.1166103559</v>
      </c>
      <c r="L129" s="162">
        <f>'r-in'!Y83</f>
        <v>3.4057331619556725</v>
      </c>
      <c r="M129" s="81">
        <f>'r-in'!Z83</f>
        <v>-349.85816776500968</v>
      </c>
      <c r="N129" s="162">
        <f>'r-in'!AA83</f>
        <v>-70.722065881442049</v>
      </c>
      <c r="O129" s="81">
        <f>'r-in'!AB83</f>
        <v>401418.76824595017</v>
      </c>
      <c r="P129" s="162">
        <f>'r-in'!AC83</f>
        <v>3.5598370749735273</v>
      </c>
      <c r="Q129" s="81">
        <f>'r-in'!AD83</f>
        <v>1854505.7222788879</v>
      </c>
      <c r="R129" s="162">
        <f>'r-in'!AE83</f>
        <v>3.563075466356191</v>
      </c>
      <c r="S129" s="157">
        <f>'r-in'!AF83</f>
        <v>4.6168115695590117</v>
      </c>
      <c r="T129" s="157">
        <f>'r-in'!AG83</f>
        <v>5.1035520344306154E-2</v>
      </c>
      <c r="U129" s="157">
        <f>'r-in'!AH83</f>
        <v>4.6196571026185547</v>
      </c>
      <c r="V129" s="157">
        <f>'r-in'!AI83</f>
        <v>5.8085485790536309E-2</v>
      </c>
      <c r="W129" s="158">
        <v>10</v>
      </c>
      <c r="X129" s="764">
        <f t="shared" si="93"/>
        <v>0.88072874288831382</v>
      </c>
      <c r="Y129" s="387">
        <f t="shared" si="94"/>
        <v>4.0686647925643102</v>
      </c>
      <c r="Z129" s="640">
        <f t="shared" si="95"/>
        <v>5.1035520344306154E-2</v>
      </c>
      <c r="AA129" s="473">
        <f t="shared" ref="AA129:AA130" si="98">((Y129/AZ$29)-1)*1000</f>
        <v>3.493597870097398</v>
      </c>
      <c r="AB129" s="478">
        <f t="shared" ref="AB129:AB130" si="99">AA129-(((Y129-(Y129/100*Z129))/AZ$29)-1)*1000</f>
        <v>0.51213817929474104</v>
      </c>
      <c r="AC129" s="108">
        <v>1</v>
      </c>
      <c r="AD129" s="159">
        <f t="shared" si="96"/>
        <v>0.71534391534391539</v>
      </c>
      <c r="AE129" s="160">
        <v>90</v>
      </c>
      <c r="AF129" s="160">
        <v>14</v>
      </c>
      <c r="AG129" s="160">
        <v>2.1</v>
      </c>
      <c r="AH129" s="303">
        <f t="shared" si="97"/>
        <v>4.9214239418859114</v>
      </c>
      <c r="AI129" s="86">
        <f t="shared" ref="AI129:AI130" si="100">Q129/M129</f>
        <v>-5300.735821392941</v>
      </c>
      <c r="AJ129" s="86"/>
      <c r="AK129" s="86"/>
      <c r="AL129" s="86"/>
      <c r="AM129" s="86"/>
      <c r="AN129" s="536"/>
      <c r="AP129" s="53"/>
      <c r="AQ129" s="108"/>
      <c r="AR129" s="110"/>
      <c r="AS129" s="724"/>
      <c r="AT129" s="750"/>
      <c r="AU129" s="750"/>
      <c r="AV129" s="751"/>
      <c r="AW129" s="108"/>
      <c r="AX129" s="724"/>
      <c r="AY129" s="53"/>
      <c r="AZ129" s="108"/>
      <c r="BA129" s="771"/>
      <c r="BB129" s="108"/>
      <c r="BC129" s="724"/>
      <c r="BD129" s="724"/>
      <c r="BE129" s="724"/>
      <c r="BF129" s="634"/>
      <c r="BG129" s="108"/>
      <c r="BH129" s="725"/>
      <c r="BI129" s="725"/>
      <c r="BJ129" s="725"/>
      <c r="BK129" s="725"/>
      <c r="BL129" s="725"/>
      <c r="BM129" s="725"/>
      <c r="BN129" s="475"/>
      <c r="BO129" s="475"/>
      <c r="BP129" s="475"/>
      <c r="BY129" s="14">
        <v>9.9860000000000007</v>
      </c>
    </row>
    <row r="130" spans="1:77" ht="15" customHeight="1" x14ac:dyDescent="0.2">
      <c r="A130" s="782" t="str">
        <f>'r-in'!A84</f>
        <v>011_U</v>
      </c>
      <c r="B130" s="706" t="s">
        <v>918</v>
      </c>
      <c r="C130" s="162">
        <f>'r-in'!P84</f>
        <v>489.9534796974234</v>
      </c>
      <c r="D130" s="162">
        <f>'r-in'!Q84</f>
        <v>36.698883637409836</v>
      </c>
      <c r="E130" s="81">
        <f>'r-in'!R84</f>
        <v>417739.61337765813</v>
      </c>
      <c r="F130" s="162">
        <f>'r-in'!S84</f>
        <v>2.8717801679410022</v>
      </c>
      <c r="G130" s="81">
        <f>'r-in'!T84</f>
        <v>344.9244009419296</v>
      </c>
      <c r="H130" s="162">
        <f>'r-in'!U84</f>
        <v>43.913624859758983</v>
      </c>
      <c r="I130" s="81">
        <f>'r-in'!V84</f>
        <v>423.62892504881</v>
      </c>
      <c r="J130" s="162">
        <f>'r-in'!W84</f>
        <v>27.688786792235852</v>
      </c>
      <c r="K130" s="81">
        <f>'r-in'!X84</f>
        <v>1838364.6304067003</v>
      </c>
      <c r="L130" s="162">
        <f>'r-in'!Y84</f>
        <v>3.0253990826588937</v>
      </c>
      <c r="M130" s="81">
        <f>'r-in'!Z84</f>
        <v>3.3653432910688252</v>
      </c>
      <c r="N130" s="162">
        <f>'r-in'!AA84</f>
        <v>6122.4564793867667</v>
      </c>
      <c r="O130" s="81">
        <f>'r-in'!AB84</f>
        <v>378395.76877182763</v>
      </c>
      <c r="P130" s="162">
        <f>'r-in'!AC84</f>
        <v>3.1669370572551299</v>
      </c>
      <c r="Q130" s="81">
        <f>'r-in'!AD84</f>
        <v>1752061.0601556243</v>
      </c>
      <c r="R130" s="162">
        <f>'r-in'!AE84</f>
        <v>3.1727341475427151</v>
      </c>
      <c r="S130" s="157">
        <f>'r-in'!AF84</f>
        <v>4.6242569444014112</v>
      </c>
      <c r="T130" s="157">
        <f>'r-in'!AG84</f>
        <v>3.925137794976627E-2</v>
      </c>
      <c r="U130" s="157">
        <f>'r-in'!AH84</f>
        <v>4.6294669972050011</v>
      </c>
      <c r="V130" s="157">
        <f>'r-in'!AI84</f>
        <v>5.5542287643593737E-2</v>
      </c>
      <c r="W130" s="158">
        <v>11</v>
      </c>
      <c r="X130" s="764">
        <f t="shared" si="93"/>
        <v>0.8806928189792893</v>
      </c>
      <c r="Y130" s="387">
        <f t="shared" ref="Y130:Y193" si="101">U130*X130</f>
        <v>4.077138340140058</v>
      </c>
      <c r="Z130" s="640">
        <f t="shared" ref="Z130:Z193" si="102">T130</f>
        <v>3.925137794976627E-2</v>
      </c>
      <c r="AA130" s="473">
        <f t="shared" si="98"/>
        <v>5.5835097151457624</v>
      </c>
      <c r="AB130" s="478">
        <f t="shared" si="99"/>
        <v>0.39470538399899446</v>
      </c>
      <c r="AC130" s="108">
        <v>1</v>
      </c>
      <c r="AD130" s="159">
        <f t="shared" si="96"/>
        <v>0.71534391534391539</v>
      </c>
      <c r="AE130" s="160">
        <v>90</v>
      </c>
      <c r="AF130" s="160">
        <v>14</v>
      </c>
      <c r="AG130" s="160">
        <v>2.1</v>
      </c>
      <c r="AH130" s="303">
        <f t="shared" ref="AH130:AH193" si="103">Q130*AD130*$AH$18 /($L$33 + $M$33*Tb1Order + IF($K$33&gt; 1,$N$33*Tb1Order^2) + IF($K$33&gt; 2,$O$33*Tb1Order^3) + IF($K$33&gt; 3,$P$33*Tb1Order^4) + IF($K$33&gt; 4,$Q$33*Tb1Order^5) + IF($K$33&gt; 5,$R$33*Tb1Order^6))</f>
        <v>4.6611668661285588</v>
      </c>
      <c r="AI130" s="86">
        <f t="shared" si="100"/>
        <v>520618.82209917839</v>
      </c>
      <c r="AJ130" s="86"/>
      <c r="AK130" s="86"/>
      <c r="AL130" s="775"/>
      <c r="AM130" s="775"/>
      <c r="AN130" s="536"/>
      <c r="AP130" s="53"/>
      <c r="AQ130" s="108"/>
      <c r="AR130" s="108"/>
      <c r="AS130" s="724"/>
      <c r="AT130" s="724"/>
      <c r="AU130" s="724"/>
      <c r="AV130" s="634"/>
      <c r="AW130" s="108"/>
      <c r="AX130" s="725"/>
      <c r="AY130" s="53"/>
      <c r="AZ130" s="108"/>
      <c r="BA130" s="771"/>
      <c r="BB130" s="108"/>
      <c r="BC130" s="724"/>
      <c r="BD130" s="724"/>
      <c r="BE130" s="724"/>
      <c r="BF130" s="634"/>
      <c r="BG130" s="108"/>
      <c r="BH130" s="725"/>
      <c r="BI130" s="725"/>
      <c r="BJ130" s="725"/>
      <c r="BK130" s="725"/>
      <c r="BL130" s="634"/>
      <c r="BM130" s="724"/>
      <c r="BN130" s="475"/>
      <c r="BO130" s="475"/>
      <c r="BP130" s="10"/>
      <c r="BY130" s="14">
        <v>9.9860000000000007</v>
      </c>
    </row>
    <row r="131" spans="1:77" ht="15" customHeight="1" x14ac:dyDescent="0.2">
      <c r="A131" s="782" t="str">
        <f>'r-in'!A85</f>
        <v>012_U</v>
      </c>
      <c r="B131" s="706" t="s">
        <v>918</v>
      </c>
      <c r="C131" s="162">
        <f>'r-in'!P85</f>
        <v>326.47459369502377</v>
      </c>
      <c r="D131" s="162">
        <f>'r-in'!Q85</f>
        <v>53.856239586003426</v>
      </c>
      <c r="E131" s="81">
        <f>'r-in'!R85</f>
        <v>413786.57682001195</v>
      </c>
      <c r="F131" s="162">
        <f>'r-in'!S85</f>
        <v>3.2330323907505814</v>
      </c>
      <c r="G131" s="81">
        <f>'r-in'!T85</f>
        <v>243.37695237866268</v>
      </c>
      <c r="H131" s="162">
        <f>'r-in'!U85</f>
        <v>66.729891525035555</v>
      </c>
      <c r="I131" s="81">
        <f>'r-in'!V85</f>
        <v>288.47246267446047</v>
      </c>
      <c r="J131" s="162">
        <f>'r-in'!W85</f>
        <v>40.228013236388669</v>
      </c>
      <c r="K131" s="81">
        <f>'r-in'!X85</f>
        <v>1818756.8240934887</v>
      </c>
      <c r="L131" s="162">
        <f>'r-in'!Y85</f>
        <v>3.3980522988142861</v>
      </c>
      <c r="M131" s="81">
        <f>'r-in'!Z85</f>
        <v>423.43329792517068</v>
      </c>
      <c r="N131" s="162">
        <f>'r-in'!AA85</f>
        <v>47.128185755929721</v>
      </c>
      <c r="O131" s="81">
        <f>'r-in'!AB85</f>
        <v>374603.76697620371</v>
      </c>
      <c r="P131" s="162">
        <f>'r-in'!AC85</f>
        <v>3.5706724371552125</v>
      </c>
      <c r="Q131" s="81">
        <f>'r-in'!AD85</f>
        <v>1731648.3103104504</v>
      </c>
      <c r="R131" s="162">
        <f>'r-in'!AE85</f>
        <v>3.5712573430009464</v>
      </c>
      <c r="S131" s="157">
        <f>'r-in'!AF85</f>
        <v>4.6181634588448004</v>
      </c>
      <c r="T131" s="157">
        <f>'r-in'!AG85</f>
        <v>4.0118647284235108E-2</v>
      </c>
      <c r="U131" s="157">
        <f>'r-in'!AH85</f>
        <v>4.6224307158076599</v>
      </c>
      <c r="V131" s="157">
        <f>'r-in'!AI85</f>
        <v>4.7064720527001884E-2</v>
      </c>
      <c r="W131" s="158">
        <v>12</v>
      </c>
      <c r="X131" s="764">
        <f t="shared" si="93"/>
        <v>0.88065824390802783</v>
      </c>
      <c r="Y131" s="387">
        <f t="shared" si="101"/>
        <v>4.0707817167697016</v>
      </c>
      <c r="Z131" s="640">
        <f t="shared" si="102"/>
        <v>4.0118647284235108E-2</v>
      </c>
      <c r="AA131" s="473">
        <f t="shared" ref="AA131:AA194" si="104">((Y131/AZ$29)-1)*1000</f>
        <v>4.015715074534798</v>
      </c>
      <c r="AB131" s="478">
        <f t="shared" ref="AB131:AB194" si="105">AA131-(((Y131-(Y131/100*Z131))/AZ$29)-1)*1000</f>
        <v>0.40279752340888209</v>
      </c>
      <c r="AC131" s="108">
        <v>1</v>
      </c>
      <c r="AD131" s="159">
        <f t="shared" si="96"/>
        <v>0.71534391534391539</v>
      </c>
      <c r="AE131" s="160">
        <v>90</v>
      </c>
      <c r="AF131" s="160">
        <v>14</v>
      </c>
      <c r="AG131" s="160">
        <v>2.1</v>
      </c>
      <c r="AH131" s="303">
        <f t="shared" si="103"/>
        <v>4.6182755458191664</v>
      </c>
      <c r="AI131" s="86">
        <f t="shared" ref="AI131:AI194" si="106">Q131/M131</f>
        <v>4089.5421281121544</v>
      </c>
      <c r="AJ131" s="86"/>
      <c r="AK131" s="86"/>
      <c r="AL131" s="86"/>
      <c r="AM131" s="86"/>
      <c r="AN131" s="536"/>
      <c r="AP131" s="53"/>
      <c r="AQ131" s="108"/>
      <c r="AR131" s="110"/>
      <c r="AS131" s="724"/>
      <c r="AT131" s="750"/>
      <c r="AU131" s="750"/>
      <c r="AV131" s="751"/>
      <c r="AW131" s="108"/>
      <c r="AX131" s="724"/>
      <c r="AY131" s="53"/>
      <c r="AZ131" s="108"/>
      <c r="BA131" s="771"/>
      <c r="BB131" s="108"/>
      <c r="BC131" s="724"/>
      <c r="BD131" s="724"/>
      <c r="BE131" s="724"/>
      <c r="BF131" s="634"/>
      <c r="BG131" s="108"/>
      <c r="BH131" s="725"/>
      <c r="BI131" s="725"/>
      <c r="BJ131" s="725"/>
      <c r="BK131" s="725"/>
      <c r="BL131" s="725"/>
      <c r="BM131" s="725"/>
      <c r="BN131" s="475"/>
      <c r="BO131" s="475"/>
      <c r="BP131" s="475"/>
      <c r="BY131" s="14">
        <v>9.9860000000000007</v>
      </c>
    </row>
    <row r="132" spans="1:77" ht="15" customHeight="1" x14ac:dyDescent="0.2">
      <c r="A132" s="782" t="str">
        <f>'r-in'!A86</f>
        <v>013_U</v>
      </c>
      <c r="B132" s="706" t="s">
        <v>918</v>
      </c>
      <c r="C132" s="162">
        <f>'r-in'!P86</f>
        <v>314.59943514315893</v>
      </c>
      <c r="D132" s="162">
        <f>'r-in'!Q86</f>
        <v>61.856671358646608</v>
      </c>
      <c r="E132" s="81">
        <f>'r-in'!R86</f>
        <v>320857.31814740325</v>
      </c>
      <c r="F132" s="162">
        <f>'r-in'!S86</f>
        <v>4.2847083559859351</v>
      </c>
      <c r="G132" s="81">
        <f>'r-in'!T86</f>
        <v>176.97611698775765</v>
      </c>
      <c r="H132" s="162">
        <f>'r-in'!U86</f>
        <v>88.71247555480231</v>
      </c>
      <c r="I132" s="81">
        <f>'r-in'!V86</f>
        <v>251.66167559695035</v>
      </c>
      <c r="J132" s="162">
        <f>'r-in'!W86</f>
        <v>49.347825155181617</v>
      </c>
      <c r="K132" s="81">
        <f>'r-in'!X86</f>
        <v>1389341.4448218625</v>
      </c>
      <c r="L132" s="162">
        <f>'r-in'!Y86</f>
        <v>4.5708627846884964</v>
      </c>
      <c r="M132" s="81">
        <f>'r-in'!Z86</f>
        <v>366.67491789180883</v>
      </c>
      <c r="N132" s="162">
        <f>'r-in'!AA86</f>
        <v>65.204162661525103</v>
      </c>
      <c r="O132" s="81">
        <f>'r-in'!AB86</f>
        <v>281725.41090931837</v>
      </c>
      <c r="P132" s="162">
        <f>'r-in'!AC86</f>
        <v>4.8805882397692271</v>
      </c>
      <c r="Q132" s="81">
        <f>'r-in'!AD86</f>
        <v>1302756.9970486918</v>
      </c>
      <c r="R132" s="162">
        <f>'r-in'!AE86</f>
        <v>4.8768733104282713</v>
      </c>
      <c r="S132" s="157">
        <f>'r-in'!AF86</f>
        <v>4.6213744948714384</v>
      </c>
      <c r="T132" s="157">
        <f>'r-in'!AG86</f>
        <v>7.3579104222640274E-2</v>
      </c>
      <c r="U132" s="157">
        <f>'r-in'!AH86</f>
        <v>4.6249265095905008</v>
      </c>
      <c r="V132" s="157">
        <f>'r-in'!AI86</f>
        <v>7.7308915042573256E-2</v>
      </c>
      <c r="W132" s="158">
        <v>13</v>
      </c>
      <c r="X132" s="764">
        <f t="shared" si="93"/>
        <v>0.88062499837071218</v>
      </c>
      <c r="Y132" s="387">
        <f t="shared" si="101"/>
        <v>4.0728258999727984</v>
      </c>
      <c r="Z132" s="640">
        <f t="shared" si="102"/>
        <v>7.3579104222640274E-2</v>
      </c>
      <c r="AA132" s="473">
        <f t="shared" si="104"/>
        <v>4.5198914718951322</v>
      </c>
      <c r="AB132" s="478">
        <f t="shared" si="105"/>
        <v>0.73911673788340515</v>
      </c>
      <c r="AC132" s="108">
        <v>1</v>
      </c>
      <c r="AD132" s="159">
        <f t="shared" si="96"/>
        <v>0.71534391534391539</v>
      </c>
      <c r="AE132" s="160">
        <v>90</v>
      </c>
      <c r="AF132" s="160">
        <v>14</v>
      </c>
      <c r="AG132" s="160">
        <v>2.1</v>
      </c>
      <c r="AH132" s="303">
        <f t="shared" si="103"/>
        <v>3.4829738649620716</v>
      </c>
      <c r="AI132" s="86">
        <f t="shared" si="106"/>
        <v>3552.8936763356241</v>
      </c>
      <c r="AJ132" s="86"/>
      <c r="AK132" s="86"/>
      <c r="AL132" s="775"/>
      <c r="AM132" s="775"/>
      <c r="AN132" s="536"/>
      <c r="AP132" s="53"/>
      <c r="AQ132" s="108"/>
      <c r="AR132" s="108"/>
      <c r="AS132" s="724"/>
      <c r="AT132" s="724"/>
      <c r="AU132" s="724"/>
      <c r="AV132" s="634"/>
      <c r="AW132" s="108"/>
      <c r="AX132" s="725"/>
      <c r="AY132" s="53"/>
      <c r="AZ132" s="108"/>
      <c r="BA132" s="771"/>
      <c r="BB132" s="108"/>
      <c r="BC132" s="724"/>
      <c r="BD132" s="724"/>
      <c r="BE132" s="724"/>
      <c r="BF132" s="634"/>
      <c r="BG132" s="108"/>
      <c r="BH132" s="725"/>
      <c r="BI132" s="725"/>
      <c r="BJ132" s="725"/>
      <c r="BK132" s="725"/>
      <c r="BL132" s="634"/>
      <c r="BM132" s="724"/>
      <c r="BN132" s="475"/>
      <c r="BO132" s="475"/>
      <c r="BP132" s="10"/>
      <c r="BY132" s="14">
        <v>9.9860000000000007</v>
      </c>
    </row>
    <row r="133" spans="1:77" ht="15" customHeight="1" x14ac:dyDescent="0.2">
      <c r="A133" s="782" t="str">
        <f>'r-in'!A87</f>
        <v>014_U</v>
      </c>
      <c r="B133" s="706" t="s">
        <v>918</v>
      </c>
      <c r="C133" s="162">
        <f>'r-in'!P87</f>
        <v>244.14185281463151</v>
      </c>
      <c r="D133" s="162">
        <f>'r-in'!Q87</f>
        <v>70.418765590046121</v>
      </c>
      <c r="E133" s="81">
        <f>'r-in'!R87</f>
        <v>360173.45574435469</v>
      </c>
      <c r="F133" s="162">
        <f>'r-in'!S87</f>
        <v>2.7620144871333396</v>
      </c>
      <c r="G133" s="81">
        <f>'r-in'!T87</f>
        <v>287.18104609463649</v>
      </c>
      <c r="H133" s="162">
        <f>'r-in'!U87</f>
        <v>56.865383806364996</v>
      </c>
      <c r="I133" s="81">
        <f>'r-in'!V87</f>
        <v>263.82449405614733</v>
      </c>
      <c r="J133" s="162">
        <f>'r-in'!W87</f>
        <v>43.635743253925774</v>
      </c>
      <c r="K133" s="81">
        <f>'r-in'!X87</f>
        <v>1572027.809686068</v>
      </c>
      <c r="L133" s="162">
        <f>'r-in'!Y87</f>
        <v>2.9362653638809419</v>
      </c>
      <c r="M133" s="81">
        <f>'r-in'!Z87</f>
        <v>-108.9924895505757</v>
      </c>
      <c r="N133" s="162">
        <f>'r-in'!AA87</f>
        <v>-202.18311119216517</v>
      </c>
      <c r="O133" s="81">
        <f>'r-in'!AB87</f>
        <v>320985.95023378835</v>
      </c>
      <c r="P133" s="162">
        <f>'r-in'!AC87</f>
        <v>3.0999989426908958</v>
      </c>
      <c r="Q133" s="81">
        <f>'r-in'!AD87</f>
        <v>1486347.1914954251</v>
      </c>
      <c r="R133" s="162">
        <f>'r-in'!AE87</f>
        <v>3.1091130246527978</v>
      </c>
      <c r="S133" s="157">
        <f>'r-in'!AF87</f>
        <v>4.6233484973233043</v>
      </c>
      <c r="T133" s="157">
        <f>'r-in'!AG87</f>
        <v>6.5163608683824842E-2</v>
      </c>
      <c r="U133" s="157">
        <f>'r-in'!AH87</f>
        <v>4.6297001256187418</v>
      </c>
      <c r="V133" s="157">
        <f>'r-in'!AI87</f>
        <v>7.3382161081347319E-2</v>
      </c>
      <c r="W133" s="158">
        <v>14</v>
      </c>
      <c r="X133" s="764">
        <f t="shared" si="93"/>
        <v>0.88059306319870323</v>
      </c>
      <c r="Y133" s="387">
        <f t="shared" si="101"/>
        <v>4.0768818153100286</v>
      </c>
      <c r="Z133" s="640">
        <f t="shared" si="102"/>
        <v>6.5163608683824842E-2</v>
      </c>
      <c r="AA133" s="473">
        <f t="shared" si="104"/>
        <v>5.5202405500132112</v>
      </c>
      <c r="AB133" s="478">
        <f t="shared" si="105"/>
        <v>0.65523327478866911</v>
      </c>
      <c r="AC133" s="108">
        <v>1</v>
      </c>
      <c r="AD133" s="159">
        <f t="shared" si="96"/>
        <v>0.71534391534391539</v>
      </c>
      <c r="AE133" s="160">
        <v>90</v>
      </c>
      <c r="AF133" s="160">
        <v>14</v>
      </c>
      <c r="AG133" s="160">
        <v>2.1</v>
      </c>
      <c r="AH133" s="303">
        <f t="shared" si="103"/>
        <v>3.9835074964709749</v>
      </c>
      <c r="AI133" s="86">
        <f t="shared" si="106"/>
        <v>-13637.152409531085</v>
      </c>
      <c r="AJ133" s="86"/>
      <c r="AK133" s="86"/>
      <c r="AL133" s="86"/>
      <c r="AM133" s="86"/>
      <c r="AN133" s="536"/>
      <c r="AP133" s="53"/>
      <c r="AQ133" s="108"/>
      <c r="AR133" s="110"/>
      <c r="AS133" s="724"/>
      <c r="AT133" s="750"/>
      <c r="AU133" s="750"/>
      <c r="AV133" s="751"/>
      <c r="AW133" s="108"/>
      <c r="AX133" s="724"/>
      <c r="AY133" s="53"/>
      <c r="AZ133" s="108"/>
      <c r="BA133" s="771"/>
      <c r="BB133" s="108"/>
      <c r="BC133" s="724"/>
      <c r="BD133" s="724"/>
      <c r="BE133" s="724"/>
      <c r="BF133" s="634"/>
      <c r="BG133" s="108"/>
      <c r="BH133" s="725"/>
      <c r="BI133" s="725"/>
      <c r="BJ133" s="725"/>
      <c r="BK133" s="725"/>
      <c r="BL133" s="725"/>
      <c r="BM133" s="725"/>
      <c r="BN133" s="475"/>
      <c r="BO133" s="475"/>
      <c r="BP133" s="475"/>
      <c r="BY133" s="14">
        <v>9.9860000000000007</v>
      </c>
    </row>
    <row r="134" spans="1:77" ht="15" customHeight="1" x14ac:dyDescent="0.2">
      <c r="A134" s="782" t="str">
        <f>'r-in'!A88</f>
        <v>015_U</v>
      </c>
      <c r="B134" s="706" t="s">
        <v>918</v>
      </c>
      <c r="C134" s="162">
        <f>'r-in'!P88</f>
        <v>93.112031072733487</v>
      </c>
      <c r="D134" s="162">
        <f>'r-in'!Q88</f>
        <v>206.16983675533803</v>
      </c>
      <c r="E134" s="81">
        <f>'r-in'!R88</f>
        <v>351040.87831557106</v>
      </c>
      <c r="F134" s="162">
        <f>'r-in'!S88</f>
        <v>3.5839979388549352</v>
      </c>
      <c r="G134" s="81">
        <f>'r-in'!T88</f>
        <v>91.025414169696447</v>
      </c>
      <c r="H134" s="162">
        <f>'r-in'!U88</f>
        <v>147.94570724616253</v>
      </c>
      <c r="I134" s="81">
        <f>'r-in'!V88</f>
        <v>92.157781497380952</v>
      </c>
      <c r="J134" s="162">
        <f>'r-in'!W88</f>
        <v>134.84135260577904</v>
      </c>
      <c r="K134" s="81">
        <f>'r-in'!X88</f>
        <v>1529927.1319755518</v>
      </c>
      <c r="L134" s="162">
        <f>'r-in'!Y88</f>
        <v>3.8068447379397341</v>
      </c>
      <c r="M134" s="81">
        <f>'r-in'!Z88</f>
        <v>-180.03601266811003</v>
      </c>
      <c r="N134" s="162">
        <f>'r-in'!AA88</f>
        <v>-148.18859144154379</v>
      </c>
      <c r="O134" s="81">
        <f>'r-in'!AB88</f>
        <v>312118.94934716821</v>
      </c>
      <c r="P134" s="162">
        <f>'r-in'!AC88</f>
        <v>4.0295523400439244</v>
      </c>
      <c r="Q134" s="81">
        <f>'r-in'!AD88</f>
        <v>1444097.3583214874</v>
      </c>
      <c r="R134" s="162">
        <f>'r-in'!AE88</f>
        <v>4.0348413800038818</v>
      </c>
      <c r="S134" s="157">
        <f>'r-in'!AF88</f>
        <v>4.6266386067226026</v>
      </c>
      <c r="T134" s="157">
        <f>'r-in'!AG88</f>
        <v>5.7564283651426268E-2</v>
      </c>
      <c r="U134" s="157">
        <f>'r-in'!AH88</f>
        <v>4.6259716277907463</v>
      </c>
      <c r="V134" s="157">
        <f>'r-in'!AI88</f>
        <v>5.4682698266918364E-2</v>
      </c>
      <c r="W134" s="158">
        <v>15</v>
      </c>
      <c r="X134" s="764">
        <f t="shared" si="93"/>
        <v>0.8805624193579259</v>
      </c>
      <c r="Y134" s="387">
        <f t="shared" si="101"/>
        <v>4.0734567684485423</v>
      </c>
      <c r="Z134" s="640">
        <f t="shared" si="102"/>
        <v>5.7564283651426268E-2</v>
      </c>
      <c r="AA134" s="473">
        <f t="shared" si="104"/>
        <v>4.6754885802300361</v>
      </c>
      <c r="AB134" s="478">
        <f t="shared" si="105"/>
        <v>0.57833424802278266</v>
      </c>
      <c r="AC134" s="108">
        <v>1</v>
      </c>
      <c r="AD134" s="159">
        <f t="shared" si="96"/>
        <v>0.71534391534391539</v>
      </c>
      <c r="AE134" s="160">
        <v>90</v>
      </c>
      <c r="AF134" s="160">
        <v>14</v>
      </c>
      <c r="AG134" s="160">
        <v>2.1</v>
      </c>
      <c r="AH134" s="303">
        <f t="shared" si="103"/>
        <v>3.8796480753678098</v>
      </c>
      <c r="AI134" s="86">
        <f t="shared" si="106"/>
        <v>-8021.1583056087193</v>
      </c>
      <c r="AJ134" s="86"/>
      <c r="AK134" s="86"/>
      <c r="AL134" s="775"/>
      <c r="AM134" s="775"/>
      <c r="AN134" s="536"/>
      <c r="AP134" s="53"/>
      <c r="AQ134" s="108"/>
      <c r="AR134" s="108"/>
      <c r="AS134" s="724"/>
      <c r="AT134" s="724"/>
      <c r="AU134" s="724"/>
      <c r="AV134" s="634"/>
      <c r="AW134" s="108"/>
      <c r="AX134" s="725"/>
      <c r="AY134" s="53"/>
      <c r="AZ134" s="108"/>
      <c r="BA134" s="771"/>
      <c r="BB134" s="108"/>
      <c r="BC134" s="724"/>
      <c r="BD134" s="724"/>
      <c r="BE134" s="724"/>
      <c r="BF134" s="634"/>
      <c r="BG134" s="108"/>
      <c r="BH134" s="725"/>
      <c r="BI134" s="725"/>
      <c r="BJ134" s="725"/>
      <c r="BK134" s="725"/>
      <c r="BL134" s="634"/>
      <c r="BM134" s="724"/>
      <c r="BN134" s="475"/>
      <c r="BO134" s="475"/>
      <c r="BP134" s="10"/>
      <c r="BY134" s="14">
        <v>9.9860000000000007</v>
      </c>
    </row>
    <row r="135" spans="1:77" ht="15" customHeight="1" x14ac:dyDescent="0.2">
      <c r="A135" s="782" t="str">
        <f>'r-in'!A89</f>
        <v>016_U</v>
      </c>
      <c r="B135" s="706" t="s">
        <v>918</v>
      </c>
      <c r="C135" s="162">
        <f>'r-in'!P89</f>
        <v>107.16222205095974</v>
      </c>
      <c r="D135" s="162">
        <f>'r-in'!Q89</f>
        <v>141.33681567158573</v>
      </c>
      <c r="E135" s="81">
        <f>'r-in'!R89</f>
        <v>294981.14439587062</v>
      </c>
      <c r="F135" s="162">
        <f>'r-in'!S89</f>
        <v>3.061092226571323</v>
      </c>
      <c r="G135" s="81">
        <f>'r-in'!T89</f>
        <v>105.73479250508443</v>
      </c>
      <c r="H135" s="162">
        <f>'r-in'!U89</f>
        <v>135.88396583420712</v>
      </c>
      <c r="I135" s="81">
        <f>'r-in'!V89</f>
        <v>106.50943138487507</v>
      </c>
      <c r="J135" s="162">
        <f>'r-in'!W89</f>
        <v>101.94243218329881</v>
      </c>
      <c r="K135" s="81">
        <f>'r-in'!X89</f>
        <v>1270073.7953542869</v>
      </c>
      <c r="L135" s="162">
        <f>'r-in'!Y89</f>
        <v>3.2972495377777209</v>
      </c>
      <c r="M135" s="81">
        <f>'r-in'!Z89</f>
        <v>365.63705655864811</v>
      </c>
      <c r="N135" s="162">
        <f>'r-in'!AA89</f>
        <v>59.742875807568133</v>
      </c>
      <c r="O135" s="81">
        <f>'r-in'!AB89</f>
        <v>256094.59139412854</v>
      </c>
      <c r="P135" s="162">
        <f>'r-in'!AC89</f>
        <v>3.5222677708427002</v>
      </c>
      <c r="Q135" s="81">
        <f>'r-in'!AD89</f>
        <v>1183760.3655592767</v>
      </c>
      <c r="R135" s="162">
        <f>'r-in'!AE89</f>
        <v>3.5389340775991598</v>
      </c>
      <c r="S135" s="157">
        <f>'r-in'!AF89</f>
        <v>4.6198919482378722</v>
      </c>
      <c r="T135" s="157">
        <f>'r-in'!AG89</f>
        <v>7.0920491949545875E-2</v>
      </c>
      <c r="U135" s="157">
        <f>'r-in'!AH89</f>
        <v>4.6190248966916538</v>
      </c>
      <c r="V135" s="157">
        <f>'r-in'!AI89</f>
        <v>9.1408730476609024E-2</v>
      </c>
      <c r="W135" s="158">
        <v>16</v>
      </c>
      <c r="X135" s="764">
        <f t="shared" si="93"/>
        <v>0.88053304794826259</v>
      </c>
      <c r="Y135" s="387">
        <f t="shared" si="101"/>
        <v>4.067204070832811</v>
      </c>
      <c r="Z135" s="640">
        <f t="shared" si="102"/>
        <v>7.0920491949545875E-2</v>
      </c>
      <c r="AA135" s="473">
        <f t="shared" si="104"/>
        <v>3.1333261395514178</v>
      </c>
      <c r="AB135" s="478">
        <f t="shared" si="105"/>
        <v>0.71142708980809211</v>
      </c>
      <c r="AC135" s="108">
        <v>1</v>
      </c>
      <c r="AD135" s="159">
        <f t="shared" si="96"/>
        <v>0.71534391534391539</v>
      </c>
      <c r="AE135" s="160">
        <v>90</v>
      </c>
      <c r="AF135" s="160">
        <v>14</v>
      </c>
      <c r="AG135" s="160">
        <v>2.1</v>
      </c>
      <c r="AH135" s="303">
        <f t="shared" si="103"/>
        <v>3.1878806710184233</v>
      </c>
      <c r="AI135" s="86">
        <f t="shared" si="106"/>
        <v>3237.5284296967907</v>
      </c>
      <c r="AJ135" s="86"/>
      <c r="AK135" s="86"/>
      <c r="AL135" s="86"/>
      <c r="AM135" s="86"/>
      <c r="AN135" s="536"/>
      <c r="AP135" s="53"/>
      <c r="AQ135" s="108"/>
      <c r="AR135" s="110"/>
      <c r="AS135" s="724"/>
      <c r="AT135" s="750"/>
      <c r="AU135" s="750"/>
      <c r="AV135" s="751"/>
      <c r="AW135" s="108"/>
      <c r="AX135" s="724"/>
      <c r="AY135" s="53"/>
      <c r="AZ135" s="108"/>
      <c r="BA135" s="771"/>
      <c r="BB135" s="108"/>
      <c r="BC135" s="724"/>
      <c r="BD135" s="724"/>
      <c r="BE135" s="724"/>
      <c r="BF135" s="634"/>
      <c r="BG135" s="108"/>
      <c r="BH135" s="725"/>
      <c r="BI135" s="725"/>
      <c r="BJ135" s="725"/>
      <c r="BK135" s="725"/>
      <c r="BL135" s="725"/>
      <c r="BM135" s="725"/>
      <c r="BN135" s="475"/>
      <c r="BO135" s="475"/>
      <c r="BP135" s="475"/>
      <c r="BY135" s="14">
        <v>9.9860000000000007</v>
      </c>
    </row>
    <row r="136" spans="1:77" ht="15" customHeight="1" x14ac:dyDescent="0.2">
      <c r="A136" s="782" t="str">
        <f>'r-in'!A90</f>
        <v>017_U</v>
      </c>
      <c r="B136" s="706" t="s">
        <v>918</v>
      </c>
      <c r="C136" s="162">
        <f>'r-in'!P90</f>
        <v>472.04456060942732</v>
      </c>
      <c r="D136" s="162">
        <f>'r-in'!Q90</f>
        <v>41.7929802131017</v>
      </c>
      <c r="E136" s="81">
        <f>'r-in'!R90</f>
        <v>343508.044565661</v>
      </c>
      <c r="F136" s="162">
        <f>'r-in'!S90</f>
        <v>3.0220250447346726</v>
      </c>
      <c r="G136" s="81">
        <f>'r-in'!T90</f>
        <v>254.00681446036742</v>
      </c>
      <c r="H136" s="162">
        <f>'r-in'!U90</f>
        <v>67.697798923295565</v>
      </c>
      <c r="I136" s="81">
        <f>'r-in'!V90</f>
        <v>372.33175450173491</v>
      </c>
      <c r="J136" s="162">
        <f>'r-in'!W90</f>
        <v>34.078784942418238</v>
      </c>
      <c r="K136" s="81">
        <f>'r-in'!X90</f>
        <v>1495246.0139419937</v>
      </c>
      <c r="L136" s="162">
        <f>'r-in'!Y90</f>
        <v>3.21035629937436</v>
      </c>
      <c r="M136" s="81">
        <f>'r-in'!Z90</f>
        <v>515.37153253716383</v>
      </c>
      <c r="N136" s="162">
        <f>'r-in'!AA90</f>
        <v>39.656020705194571</v>
      </c>
      <c r="O136" s="81">
        <f>'r-in'!AB90</f>
        <v>304492.25585192558</v>
      </c>
      <c r="P136" s="162">
        <f>'r-in'!AC90</f>
        <v>3.4090451035269425</v>
      </c>
      <c r="Q136" s="81">
        <f>'r-in'!AD90</f>
        <v>1409217.0652186794</v>
      </c>
      <c r="R136" s="162">
        <f>'r-in'!AE90</f>
        <v>3.4077151190733885</v>
      </c>
      <c r="S136" s="157">
        <f>'r-in'!AF90</f>
        <v>4.6226824498299033</v>
      </c>
      <c r="T136" s="157">
        <f>'r-in'!AG90</f>
        <v>5.2855561395288464E-2</v>
      </c>
      <c r="U136" s="157">
        <f>'r-in'!AH90</f>
        <v>4.6284153959385135</v>
      </c>
      <c r="V136" s="157">
        <f>'r-in'!AI90</f>
        <v>7.8409308581349382E-2</v>
      </c>
      <c r="W136" s="158">
        <v>17</v>
      </c>
      <c r="X136" s="764">
        <f t="shared" si="93"/>
        <v>0.88050493020296572</v>
      </c>
      <c r="Y136" s="387">
        <f t="shared" si="101"/>
        <v>4.0753425751511729</v>
      </c>
      <c r="Z136" s="640">
        <f t="shared" si="102"/>
        <v>5.2855561395288464E-2</v>
      </c>
      <c r="AA136" s="473">
        <f t="shared" si="104"/>
        <v>5.1406030709515438</v>
      </c>
      <c r="AB136" s="478">
        <f t="shared" si="105"/>
        <v>0.53127270856512254</v>
      </c>
      <c r="AC136" s="108">
        <v>1</v>
      </c>
      <c r="AD136" s="159">
        <f t="shared" si="96"/>
        <v>0.71534391534391539</v>
      </c>
      <c r="AE136" s="160">
        <v>90</v>
      </c>
      <c r="AF136" s="160">
        <v>14</v>
      </c>
      <c r="AG136" s="160">
        <v>2.1</v>
      </c>
      <c r="AH136" s="303">
        <f t="shared" si="103"/>
        <v>3.8040872954480571</v>
      </c>
      <c r="AI136" s="86">
        <f t="shared" si="106"/>
        <v>2734.3711793337357</v>
      </c>
      <c r="AJ136" s="86"/>
      <c r="AK136" s="86"/>
      <c r="AL136" s="775"/>
      <c r="AM136" s="775"/>
      <c r="AN136" s="536"/>
      <c r="AP136" s="53"/>
      <c r="AQ136" s="108"/>
      <c r="AR136" s="108"/>
      <c r="AS136" s="724"/>
      <c r="AT136" s="724"/>
      <c r="AU136" s="724"/>
      <c r="AV136" s="634"/>
      <c r="AW136" s="108"/>
      <c r="AX136" s="725"/>
      <c r="AY136" s="53"/>
      <c r="AZ136" s="108"/>
      <c r="BA136" s="771"/>
      <c r="BB136" s="108"/>
      <c r="BC136" s="724"/>
      <c r="BD136" s="724"/>
      <c r="BE136" s="724"/>
      <c r="BF136" s="634"/>
      <c r="BG136" s="108"/>
      <c r="BH136" s="725"/>
      <c r="BI136" s="725"/>
      <c r="BJ136" s="725"/>
      <c r="BK136" s="725"/>
      <c r="BL136" s="634"/>
      <c r="BM136" s="724"/>
      <c r="BN136" s="475"/>
      <c r="BO136" s="475"/>
      <c r="BP136" s="10"/>
      <c r="BY136" s="14">
        <v>9.9860000000000007</v>
      </c>
    </row>
    <row r="137" spans="1:77" ht="15" customHeight="1" x14ac:dyDescent="0.2">
      <c r="A137" s="782" t="str">
        <f>'r-in'!A91</f>
        <v>018_U</v>
      </c>
      <c r="B137" s="706" t="s">
        <v>918</v>
      </c>
      <c r="C137" s="162">
        <f>'r-in'!P91</f>
        <v>429.95939695491791</v>
      </c>
      <c r="D137" s="162">
        <f>'r-in'!Q91</f>
        <v>46.527413714209075</v>
      </c>
      <c r="E137" s="81">
        <f>'r-in'!R91</f>
        <v>336674.31381842791</v>
      </c>
      <c r="F137" s="162">
        <f>'r-in'!S91</f>
        <v>3.1280402131250349</v>
      </c>
      <c r="G137" s="81">
        <f>'r-in'!T91</f>
        <v>454.92687823591365</v>
      </c>
      <c r="H137" s="162">
        <f>'r-in'!U91</f>
        <v>39.911650340225918</v>
      </c>
      <c r="I137" s="81">
        <f>'r-in'!V91</f>
        <v>441.3775007646471</v>
      </c>
      <c r="J137" s="162">
        <f>'r-in'!W91</f>
        <v>29.872911610502957</v>
      </c>
      <c r="K137" s="81">
        <f>'r-in'!X91</f>
        <v>1462653.9990917454</v>
      </c>
      <c r="L137" s="162">
        <f>'r-in'!Y91</f>
        <v>3.3267732136151729</v>
      </c>
      <c r="M137" s="81">
        <f>'r-in'!Z91</f>
        <v>621.84887582896511</v>
      </c>
      <c r="N137" s="162">
        <f>'r-in'!AA91</f>
        <v>39.580203551683944</v>
      </c>
      <c r="O137" s="81">
        <f>'r-in'!AB91</f>
        <v>297736.87172322726</v>
      </c>
      <c r="P137" s="162">
        <f>'r-in'!AC91</f>
        <v>3.5448605644866764</v>
      </c>
      <c r="Q137" s="81">
        <f>'r-in'!AD91</f>
        <v>1376061.1194805212</v>
      </c>
      <c r="R137" s="162">
        <f>'r-in'!AE91</f>
        <v>3.5332345949931123</v>
      </c>
      <c r="S137" s="157">
        <f>'r-in'!AF91</f>
        <v>4.6119324735354947</v>
      </c>
      <c r="T137" s="157">
        <f>'r-in'!AG91</f>
        <v>6.5921722282885842E-2</v>
      </c>
      <c r="U137" s="157">
        <f>'r-in'!AH91</f>
        <v>4.6236999167921944</v>
      </c>
      <c r="V137" s="157">
        <f>'r-in'!AI91</f>
        <v>7.3548830248808705E-2</v>
      </c>
      <c r="W137" s="158">
        <v>18</v>
      </c>
      <c r="X137" s="764">
        <f t="shared" si="93"/>
        <v>0.88047804748808078</v>
      </c>
      <c r="Y137" s="387">
        <f t="shared" si="101"/>
        <v>4.0710662749079933</v>
      </c>
      <c r="Z137" s="640">
        <f t="shared" si="102"/>
        <v>6.5921722282885842E-2</v>
      </c>
      <c r="AA137" s="473">
        <f t="shared" si="104"/>
        <v>4.0858983618186073</v>
      </c>
      <c r="AB137" s="478">
        <f t="shared" si="105"/>
        <v>0.66191071739996055</v>
      </c>
      <c r="AC137" s="108">
        <v>1</v>
      </c>
      <c r="AD137" s="159">
        <f t="shared" si="96"/>
        <v>0.71534391534391539</v>
      </c>
      <c r="AE137" s="160">
        <v>90</v>
      </c>
      <c r="AF137" s="160">
        <v>14</v>
      </c>
      <c r="AG137" s="160">
        <v>2.1</v>
      </c>
      <c r="AH137" s="303">
        <f t="shared" si="103"/>
        <v>3.7233729702015048</v>
      </c>
      <c r="AI137" s="86">
        <f t="shared" si="106"/>
        <v>2212.8545583460964</v>
      </c>
      <c r="AJ137" s="86"/>
      <c r="AK137" s="86"/>
      <c r="AL137" s="86"/>
      <c r="AM137" s="86"/>
      <c r="AN137" s="536"/>
      <c r="AP137" s="53"/>
      <c r="AQ137" s="108"/>
      <c r="AR137" s="110"/>
      <c r="AS137" s="724"/>
      <c r="AT137" s="750"/>
      <c r="AU137" s="750"/>
      <c r="AV137" s="751"/>
      <c r="AW137" s="108"/>
      <c r="AX137" s="724"/>
      <c r="AY137" s="53"/>
      <c r="AZ137" s="108"/>
      <c r="BA137" s="771"/>
      <c r="BB137" s="108"/>
      <c r="BC137" s="724"/>
      <c r="BD137" s="724"/>
      <c r="BE137" s="724"/>
      <c r="BF137" s="634"/>
      <c r="BG137" s="108"/>
      <c r="BH137" s="725"/>
      <c r="BI137" s="725"/>
      <c r="BJ137" s="725"/>
      <c r="BK137" s="725"/>
      <c r="BL137" s="725"/>
      <c r="BM137" s="725"/>
      <c r="BN137" s="475"/>
      <c r="BO137" s="475"/>
      <c r="BP137" s="475"/>
      <c r="BY137" s="14">
        <v>9.9860000000000007</v>
      </c>
    </row>
    <row r="138" spans="1:77" ht="15" customHeight="1" x14ac:dyDescent="0.2">
      <c r="A138" s="782" t="str">
        <f>'r-in'!A92</f>
        <v>019_U</v>
      </c>
      <c r="B138" s="706" t="s">
        <v>918</v>
      </c>
      <c r="C138" s="162">
        <f>'r-in'!P92</f>
        <v>494.47218661670894</v>
      </c>
      <c r="D138" s="162">
        <f>'r-in'!Q92</f>
        <v>38.211534912091658</v>
      </c>
      <c r="E138" s="81">
        <f>'r-in'!R92</f>
        <v>295110.47975835111</v>
      </c>
      <c r="F138" s="162">
        <f>'r-in'!S92</f>
        <v>4.8119303694307467</v>
      </c>
      <c r="G138" s="81">
        <f>'r-in'!T92</f>
        <v>333.423530285021</v>
      </c>
      <c r="H138" s="162">
        <f>'r-in'!U92</f>
        <v>52.225111200978716</v>
      </c>
      <c r="I138" s="81">
        <f>'r-in'!V92</f>
        <v>420.82157461796032</v>
      </c>
      <c r="J138" s="162">
        <f>'r-in'!W92</f>
        <v>31.520233632184222</v>
      </c>
      <c r="K138" s="81">
        <f>'r-in'!X92</f>
        <v>1269291.3344799727</v>
      </c>
      <c r="L138" s="162">
        <f>'r-in'!Y92</f>
        <v>5.162282743429893</v>
      </c>
      <c r="M138" s="81">
        <f>'r-in'!Z92</f>
        <v>110.01663814744064</v>
      </c>
      <c r="N138" s="162">
        <f>'r-in'!AA92</f>
        <v>227.57100270143715</v>
      </c>
      <c r="O138" s="81">
        <f>'r-in'!AB92</f>
        <v>256066.96438120818</v>
      </c>
      <c r="P138" s="162">
        <f>'r-in'!AC92</f>
        <v>5.5442124062532061</v>
      </c>
      <c r="Q138" s="81">
        <f>'r-in'!AD92</f>
        <v>1183618.170242466</v>
      </c>
      <c r="R138" s="162">
        <f>'r-in'!AE92</f>
        <v>5.5407850109594428</v>
      </c>
      <c r="S138" s="157">
        <f>'r-in'!AF92</f>
        <v>4.6093184222565613</v>
      </c>
      <c r="T138" s="157">
        <f>'r-in'!AG92</f>
        <v>7.8579808591938888E-2</v>
      </c>
      <c r="U138" s="157">
        <f>'r-in'!AH92</f>
        <v>4.6230336953258311</v>
      </c>
      <c r="V138" s="157">
        <f>'r-in'!AI92</f>
        <v>8.5684105165882568E-2</v>
      </c>
      <c r="W138" s="158">
        <v>19</v>
      </c>
      <c r="X138" s="764">
        <f t="shared" si="93"/>
        <v>0.88045238130188386</v>
      </c>
      <c r="Y138" s="387">
        <f t="shared" si="101"/>
        <v>4.0703610258884755</v>
      </c>
      <c r="Z138" s="640">
        <f t="shared" si="102"/>
        <v>7.8579808591938888E-2</v>
      </c>
      <c r="AA138" s="473">
        <f t="shared" si="104"/>
        <v>3.9119560706561973</v>
      </c>
      <c r="AB138" s="478">
        <f t="shared" si="105"/>
        <v>0.78887209351208298</v>
      </c>
      <c r="AC138" s="108">
        <v>1</v>
      </c>
      <c r="AD138" s="159">
        <f t="shared" si="96"/>
        <v>0.71534391534391539</v>
      </c>
      <c r="AE138" s="160">
        <v>90</v>
      </c>
      <c r="AF138" s="160">
        <v>14</v>
      </c>
      <c r="AG138" s="160">
        <v>2.1</v>
      </c>
      <c r="AH138" s="303">
        <f t="shared" si="103"/>
        <v>3.2101741827867456</v>
      </c>
      <c r="AI138" s="86">
        <f t="shared" si="106"/>
        <v>10758.537891843416</v>
      </c>
      <c r="AJ138" s="86"/>
      <c r="AK138" s="86"/>
      <c r="AL138" s="775"/>
      <c r="AM138" s="775"/>
      <c r="AN138" s="536"/>
      <c r="AP138" s="53"/>
      <c r="AQ138" s="108"/>
      <c r="AR138" s="108"/>
      <c r="AS138" s="724"/>
      <c r="AT138" s="724"/>
      <c r="AU138" s="724"/>
      <c r="AV138" s="634"/>
      <c r="AW138" s="108"/>
      <c r="AX138" s="725"/>
      <c r="AY138" s="53"/>
      <c r="AZ138" s="108"/>
      <c r="BA138" s="771"/>
      <c r="BB138" s="108"/>
      <c r="BC138" s="724"/>
      <c r="BD138" s="724"/>
      <c r="BE138" s="724"/>
      <c r="BF138" s="634"/>
      <c r="BG138" s="108"/>
      <c r="BH138" s="725"/>
      <c r="BI138" s="725"/>
      <c r="BJ138" s="725"/>
      <c r="BK138" s="725"/>
      <c r="BL138" s="634"/>
      <c r="BM138" s="724"/>
      <c r="BN138" s="475"/>
      <c r="BO138" s="475"/>
      <c r="BP138" s="10"/>
      <c r="BY138" s="14">
        <v>9.9860000000000007</v>
      </c>
    </row>
    <row r="139" spans="1:77" ht="15" customHeight="1" x14ac:dyDescent="0.2">
      <c r="A139" s="782" t="str">
        <f>'r-in'!A93</f>
        <v>020_U</v>
      </c>
      <c r="B139" s="706" t="s">
        <v>918</v>
      </c>
      <c r="C139" s="162">
        <f>'r-in'!P93</f>
        <v>342.87234184579785</v>
      </c>
      <c r="D139" s="162">
        <f>'r-in'!Q93</f>
        <v>50.13023560419439</v>
      </c>
      <c r="E139" s="81">
        <f>'r-in'!R93</f>
        <v>354400.42228689615</v>
      </c>
      <c r="F139" s="162">
        <f>'r-in'!S93</f>
        <v>4.0313723813020994</v>
      </c>
      <c r="G139" s="81">
        <f>'r-in'!T93</f>
        <v>201.47649100365402</v>
      </c>
      <c r="H139" s="162">
        <f>'r-in'!U93</f>
        <v>80.726707653637277</v>
      </c>
      <c r="I139" s="81">
        <f>'r-in'!V93</f>
        <v>278.20933138789195</v>
      </c>
      <c r="J139" s="162">
        <f>'r-in'!W93</f>
        <v>46.047588813017974</v>
      </c>
      <c r="K139" s="81">
        <f>'r-in'!X93</f>
        <v>1541097.2549741212</v>
      </c>
      <c r="L139" s="162">
        <f>'r-in'!Y93</f>
        <v>4.2824579283860054</v>
      </c>
      <c r="M139" s="81">
        <f>'r-in'!Z93</f>
        <v>-636.34468467898319</v>
      </c>
      <c r="N139" s="162">
        <f>'r-in'!AA93</f>
        <v>-41.166743051670501</v>
      </c>
      <c r="O139" s="81">
        <f>'r-in'!AB93</f>
        <v>315488.41895273793</v>
      </c>
      <c r="P139" s="162">
        <f>'r-in'!AC93</f>
        <v>4.5346050047559583</v>
      </c>
      <c r="Q139" s="81">
        <f>'r-in'!AD93</f>
        <v>1455713.1551210089</v>
      </c>
      <c r="R139" s="162">
        <f>'r-in'!AE93</f>
        <v>4.5384275788636899</v>
      </c>
      <c r="S139" s="157">
        <f>'r-in'!AF93</f>
        <v>4.6109408060418291</v>
      </c>
      <c r="T139" s="157">
        <f>'r-in'!AG93</f>
        <v>6.2892843990214831E-2</v>
      </c>
      <c r="U139" s="157">
        <f>'r-in'!AH93</f>
        <v>4.6138901617359327</v>
      </c>
      <c r="V139" s="157">
        <f>'r-in'!AI93</f>
        <v>7.0628871014628419E-2</v>
      </c>
      <c r="W139" s="158">
        <v>20</v>
      </c>
      <c r="X139" s="764">
        <f t="shared" si="93"/>
        <v>0.88042791327433156</v>
      </c>
      <c r="Y139" s="387">
        <f t="shared" si="101"/>
        <v>4.0621976871741357</v>
      </c>
      <c r="Z139" s="640">
        <f t="shared" si="102"/>
        <v>6.2892843990214831E-2</v>
      </c>
      <c r="AA139" s="473">
        <f t="shared" si="104"/>
        <v>1.8985539953473296</v>
      </c>
      <c r="AB139" s="478">
        <f t="shared" si="105"/>
        <v>0.63012249450467017</v>
      </c>
      <c r="AC139" s="108">
        <v>1</v>
      </c>
      <c r="AD139" s="159">
        <f t="shared" si="96"/>
        <v>0.71534391534391539</v>
      </c>
      <c r="AE139" s="160">
        <v>90</v>
      </c>
      <c r="AF139" s="160">
        <v>14</v>
      </c>
      <c r="AG139" s="160">
        <v>2.1</v>
      </c>
      <c r="AH139" s="303">
        <f t="shared" si="103"/>
        <v>3.9573353971785865</v>
      </c>
      <c r="AI139" s="86">
        <f t="shared" si="106"/>
        <v>-2287.61737179493</v>
      </c>
      <c r="AJ139" s="86"/>
      <c r="AK139" s="86"/>
      <c r="AL139" s="86"/>
      <c r="AM139" s="86"/>
      <c r="AN139" s="536"/>
      <c r="AP139" s="53"/>
      <c r="AQ139" s="108"/>
      <c r="AR139" s="110"/>
      <c r="AS139" s="724"/>
      <c r="AT139" s="750"/>
      <c r="AU139" s="750"/>
      <c r="AV139" s="751"/>
      <c r="AW139" s="108"/>
      <c r="AX139" s="724"/>
      <c r="AY139" s="53"/>
      <c r="AZ139" s="108"/>
      <c r="BA139" s="771"/>
      <c r="BB139" s="108"/>
      <c r="BC139" s="724"/>
      <c r="BD139" s="724"/>
      <c r="BE139" s="724"/>
      <c r="BF139" s="634"/>
      <c r="BG139" s="108"/>
      <c r="BH139" s="725"/>
      <c r="BI139" s="725"/>
      <c r="BJ139" s="725"/>
      <c r="BK139" s="725"/>
      <c r="BL139" s="725"/>
      <c r="BM139" s="725"/>
      <c r="BN139" s="475"/>
      <c r="BO139" s="475"/>
      <c r="BP139" s="475"/>
      <c r="BY139" s="14">
        <v>9.9860000000000007</v>
      </c>
    </row>
    <row r="140" spans="1:77" ht="15" customHeight="1" x14ac:dyDescent="0.2">
      <c r="A140" s="782" t="str">
        <f>'r-in'!A94</f>
        <v>021_U</v>
      </c>
      <c r="B140" s="706" t="s">
        <v>918</v>
      </c>
      <c r="C140" s="162">
        <f>'r-in'!P94</f>
        <v>180.77795703256274</v>
      </c>
      <c r="D140" s="162">
        <f>'r-in'!Q94</f>
        <v>97.982744344751666</v>
      </c>
      <c r="E140" s="81">
        <f>'r-in'!R94</f>
        <v>357706.76914527128</v>
      </c>
      <c r="F140" s="162">
        <f>'r-in'!S94</f>
        <v>3.7374113816604977</v>
      </c>
      <c r="G140" s="81">
        <f>'r-in'!T94</f>
        <v>-186.37970761818858</v>
      </c>
      <c r="H140" s="162">
        <f>'r-in'!U94</f>
        <v>-80.234807591576768</v>
      </c>
      <c r="I140" s="81">
        <f>'r-in'!V94</f>
        <v>12.869777495405115</v>
      </c>
      <c r="J140" s="162">
        <f>'r-in'!W94</f>
        <v>767.11203357183535</v>
      </c>
      <c r="K140" s="81">
        <f>'r-in'!X94</f>
        <v>1557129.1151242403</v>
      </c>
      <c r="L140" s="162">
        <f>'r-in'!Y94</f>
        <v>3.967168315613558</v>
      </c>
      <c r="M140" s="81">
        <f>'r-in'!Z94</f>
        <v>-561.86038001755128</v>
      </c>
      <c r="N140" s="162">
        <f>'r-in'!AA94</f>
        <v>-37.087064765941079</v>
      </c>
      <c r="O140" s="81">
        <f>'r-in'!AB94</f>
        <v>319052.85879883246</v>
      </c>
      <c r="P140" s="162">
        <f>'r-in'!AC94</f>
        <v>4.1936445553012351</v>
      </c>
      <c r="Q140" s="81">
        <f>'r-in'!AD94</f>
        <v>1471915.104155635</v>
      </c>
      <c r="R140" s="162">
        <f>'r-in'!AE94</f>
        <v>4.1976483483827582</v>
      </c>
      <c r="S140" s="157">
        <f>'r-in'!AF94</f>
        <v>4.6133462491685266</v>
      </c>
      <c r="T140" s="157">
        <f>'r-in'!AG94</f>
        <v>5.5287350027034082E-2</v>
      </c>
      <c r="U140" s="157">
        <f>'r-in'!AH94</f>
        <v>4.6128929408255459</v>
      </c>
      <c r="V140" s="157">
        <f>'r-in'!AI94</f>
        <v>6.0594418900089174E-2</v>
      </c>
      <c r="W140" s="158">
        <v>21</v>
      </c>
      <c r="X140" s="764">
        <f t="shared" si="93"/>
        <v>0.88040462516652451</v>
      </c>
      <c r="Y140" s="387">
        <f t="shared" si="101"/>
        <v>4.0612122805008219</v>
      </c>
      <c r="Z140" s="640">
        <f t="shared" si="102"/>
        <v>5.5287350027034082E-2</v>
      </c>
      <c r="AA140" s="473">
        <f t="shared" si="104"/>
        <v>1.6555137503568851</v>
      </c>
      <c r="AB140" s="478">
        <f t="shared" si="105"/>
        <v>0.55378878995226977</v>
      </c>
      <c r="AC140" s="108">
        <v>1</v>
      </c>
      <c r="AD140" s="159">
        <f t="shared" si="96"/>
        <v>0.71534391534391539</v>
      </c>
      <c r="AE140" s="160">
        <v>90</v>
      </c>
      <c r="AF140" s="160">
        <v>14</v>
      </c>
      <c r="AG140" s="160">
        <v>2.1</v>
      </c>
      <c r="AH140" s="303">
        <f t="shared" si="103"/>
        <v>4.0106228120444243</v>
      </c>
      <c r="AI140" s="86">
        <f t="shared" si="106"/>
        <v>-2619.7168487118734</v>
      </c>
      <c r="AJ140" s="86"/>
      <c r="AK140" s="86"/>
      <c r="AL140" s="775"/>
      <c r="AM140" s="775"/>
      <c r="AN140" s="536"/>
      <c r="AP140" s="53"/>
      <c r="AQ140" s="108"/>
      <c r="AR140" s="108"/>
      <c r="AS140" s="724"/>
      <c r="AT140" s="724"/>
      <c r="AU140" s="724"/>
      <c r="AV140" s="634"/>
      <c r="AW140" s="108"/>
      <c r="AX140" s="725"/>
      <c r="AY140" s="53"/>
      <c r="AZ140" s="108"/>
      <c r="BA140" s="771"/>
      <c r="BB140" s="108"/>
      <c r="BC140" s="724"/>
      <c r="BD140" s="724"/>
      <c r="BE140" s="724"/>
      <c r="BF140" s="634"/>
      <c r="BG140" s="108"/>
      <c r="BH140" s="725"/>
      <c r="BI140" s="725"/>
      <c r="BJ140" s="725"/>
      <c r="BK140" s="725"/>
      <c r="BL140" s="634"/>
      <c r="BM140" s="724"/>
      <c r="BN140" s="475"/>
      <c r="BO140" s="475"/>
      <c r="BP140" s="10"/>
      <c r="BY140" s="14">
        <v>9.9860000000000007</v>
      </c>
    </row>
    <row r="141" spans="1:77" ht="15" customHeight="1" x14ac:dyDescent="0.2">
      <c r="A141" s="782" t="str">
        <f>'r-in'!A95</f>
        <v>022_U</v>
      </c>
      <c r="B141" s="706" t="s">
        <v>918</v>
      </c>
      <c r="C141" s="162">
        <f>'r-in'!P95</f>
        <v>479.28615436616445</v>
      </c>
      <c r="D141" s="162">
        <f>'r-in'!Q95</f>
        <v>42.205655537145603</v>
      </c>
      <c r="E141" s="81">
        <f>'r-in'!R95</f>
        <v>257939.81689357263</v>
      </c>
      <c r="F141" s="162">
        <f>'r-in'!S95</f>
        <v>2.9028844913921423</v>
      </c>
      <c r="G141" s="81">
        <f>'r-in'!T95</f>
        <v>250.699031828156</v>
      </c>
      <c r="H141" s="162">
        <f>'r-in'!U95</f>
        <v>65.842624719602654</v>
      </c>
      <c r="I141" s="81">
        <f>'r-in'!V95</f>
        <v>374.74891789718396</v>
      </c>
      <c r="J141" s="162">
        <f>'r-in'!W95</f>
        <v>37.313017918634408</v>
      </c>
      <c r="K141" s="81">
        <f>'r-in'!X95</f>
        <v>1098203.2471109682</v>
      </c>
      <c r="L141" s="162">
        <f>'r-in'!Y95</f>
        <v>3.1709218294921895</v>
      </c>
      <c r="M141" s="81">
        <f>'r-in'!Z95</f>
        <v>-75.038674526653182</v>
      </c>
      <c r="N141" s="162">
        <f>'r-in'!AA95</f>
        <v>-263.99815993197609</v>
      </c>
      <c r="O141" s="81">
        <f>'r-in'!AB95</f>
        <v>219044.08449177511</v>
      </c>
      <c r="P141" s="162">
        <f>'r-in'!AC95</f>
        <v>3.42443478285099</v>
      </c>
      <c r="Q141" s="81">
        <f>'r-in'!AD95</f>
        <v>1012806.5987149051</v>
      </c>
      <c r="R141" s="162">
        <f>'r-in'!AE95</f>
        <v>3.4375823496795341</v>
      </c>
      <c r="S141" s="157">
        <f>'r-in'!AF95</f>
        <v>4.6155596984009142</v>
      </c>
      <c r="T141" s="157">
        <f>'r-in'!AG95</f>
        <v>8.0001150526831821E-2</v>
      </c>
      <c r="U141" s="157">
        <f>'r-in'!AH95</f>
        <v>4.6223351987631442</v>
      </c>
      <c r="V141" s="157">
        <f>'r-in'!AI95</f>
        <v>9.1119736355512654E-2</v>
      </c>
      <c r="W141" s="158">
        <v>22</v>
      </c>
      <c r="X141" s="764">
        <f t="shared" si="93"/>
        <v>0.88038249887018238</v>
      </c>
      <c r="Y141" s="387">
        <f t="shared" si="101"/>
        <v>4.069423012902698</v>
      </c>
      <c r="Z141" s="640">
        <f t="shared" si="102"/>
        <v>8.0001150526831821E-2</v>
      </c>
      <c r="AA141" s="473">
        <f t="shared" si="104"/>
        <v>3.6806049827839971</v>
      </c>
      <c r="AB141" s="478">
        <f t="shared" si="105"/>
        <v>0.80295603160074336</v>
      </c>
      <c r="AC141" s="108">
        <v>1</v>
      </c>
      <c r="AD141" s="159">
        <f t="shared" si="96"/>
        <v>0.71534391534391539</v>
      </c>
      <c r="AE141" s="160">
        <v>90</v>
      </c>
      <c r="AF141" s="160">
        <v>14</v>
      </c>
      <c r="AG141" s="160">
        <v>2.1</v>
      </c>
      <c r="AH141" s="303">
        <f t="shared" si="103"/>
        <v>2.7659830543475041</v>
      </c>
      <c r="AI141" s="86">
        <f t="shared" si="106"/>
        <v>-13497.128049019091</v>
      </c>
      <c r="AJ141" s="86"/>
      <c r="AK141" s="86"/>
      <c r="AL141" s="86"/>
      <c r="AM141" s="86"/>
      <c r="AN141" s="536"/>
      <c r="AP141" s="53"/>
      <c r="AQ141" s="108"/>
      <c r="AR141" s="110"/>
      <c r="AS141" s="724"/>
      <c r="AT141" s="750"/>
      <c r="AU141" s="750"/>
      <c r="AV141" s="751"/>
      <c r="AW141" s="108"/>
      <c r="AX141" s="724"/>
      <c r="AY141" s="53"/>
      <c r="AZ141" s="108"/>
      <c r="BA141" s="771"/>
      <c r="BB141" s="108"/>
      <c r="BC141" s="724"/>
      <c r="BD141" s="724"/>
      <c r="BE141" s="724"/>
      <c r="BF141" s="634"/>
      <c r="BG141" s="108"/>
      <c r="BH141" s="725"/>
      <c r="BI141" s="725"/>
      <c r="BJ141" s="725"/>
      <c r="BK141" s="725"/>
      <c r="BL141" s="725"/>
      <c r="BM141" s="725"/>
      <c r="BN141" s="475"/>
      <c r="BO141" s="475"/>
      <c r="BP141" s="475"/>
      <c r="BY141" s="14">
        <v>9.9860000000000007</v>
      </c>
    </row>
    <row r="142" spans="1:77" ht="15" customHeight="1" x14ac:dyDescent="0.2">
      <c r="A142" s="782" t="str">
        <f>'r-in'!A96</f>
        <v>023_U</v>
      </c>
      <c r="B142" s="706" t="s">
        <v>918</v>
      </c>
      <c r="C142" s="162">
        <f>'r-in'!P96</f>
        <v>53.311722957028771</v>
      </c>
      <c r="D142" s="162">
        <f>'r-in'!Q96</f>
        <v>384.17705597750859</v>
      </c>
      <c r="E142" s="81">
        <f>'r-in'!R96</f>
        <v>271272.91431295796</v>
      </c>
      <c r="F142" s="162">
        <f>'r-in'!S96</f>
        <v>5.2567166501516445</v>
      </c>
      <c r="G142" s="81">
        <f>'r-in'!T96</f>
        <v>94.029054006092338</v>
      </c>
      <c r="H142" s="162">
        <f>'r-in'!U96</f>
        <v>194.24255504307047</v>
      </c>
      <c r="I142" s="81">
        <f>'r-in'!V96</f>
        <v>71.932532462839688</v>
      </c>
      <c r="J142" s="162">
        <f>'r-in'!W96</f>
        <v>194.01369424110348</v>
      </c>
      <c r="K142" s="81">
        <f>'r-in'!X96</f>
        <v>1161128.8206569413</v>
      </c>
      <c r="L142" s="162">
        <f>'r-in'!Y96</f>
        <v>5.6836935646435069</v>
      </c>
      <c r="M142" s="81">
        <f>'r-in'!Z96</f>
        <v>147.95311456863078</v>
      </c>
      <c r="N142" s="162">
        <f>'r-in'!AA96</f>
        <v>173.75092623164798</v>
      </c>
      <c r="O142" s="81">
        <f>'r-in'!AB96</f>
        <v>232767.18661716755</v>
      </c>
      <c r="P142" s="162">
        <f>'r-in'!AC96</f>
        <v>6.1370933232904967</v>
      </c>
      <c r="Q142" s="81">
        <f>'r-in'!AD96</f>
        <v>1075706.3283991737</v>
      </c>
      <c r="R142" s="162">
        <f>'r-in'!AE96</f>
        <v>6.1283678858049582</v>
      </c>
      <c r="S142" s="157">
        <f>'r-in'!AF96</f>
        <v>4.6219365569152195</v>
      </c>
      <c r="T142" s="157">
        <f>'r-in'!AG96</f>
        <v>7.4680060759879041E-2</v>
      </c>
      <c r="U142" s="157">
        <f>'r-in'!AH96</f>
        <v>4.6229130295501166</v>
      </c>
      <c r="V142" s="157">
        <f>'r-in'!AI96</f>
        <v>7.3163519786856007E-2</v>
      </c>
      <c r="W142" s="158">
        <v>23</v>
      </c>
      <c r="X142" s="764">
        <f t="shared" si="93"/>
        <v>0.88036151640713389</v>
      </c>
      <c r="Y142" s="387">
        <f t="shared" si="101"/>
        <v>4.0698347249130382</v>
      </c>
      <c r="Z142" s="640">
        <f t="shared" si="102"/>
        <v>7.4680060759879041E-2</v>
      </c>
      <c r="AA142" s="473">
        <f t="shared" si="104"/>
        <v>3.7821494421108603</v>
      </c>
      <c r="AB142" s="478">
        <f t="shared" si="105"/>
        <v>0.74962511910015017</v>
      </c>
      <c r="AC142" s="108">
        <v>1</v>
      </c>
      <c r="AD142" s="159">
        <f t="shared" si="96"/>
        <v>0.71534391534391539</v>
      </c>
      <c r="AE142" s="160">
        <v>90</v>
      </c>
      <c r="AF142" s="160">
        <v>14</v>
      </c>
      <c r="AG142" s="160">
        <v>2.1</v>
      </c>
      <c r="AH142" s="303">
        <f t="shared" si="103"/>
        <v>2.9444391711273141</v>
      </c>
      <c r="AI142" s="86">
        <f t="shared" si="106"/>
        <v>7270.5892777957533</v>
      </c>
      <c r="AJ142" s="86"/>
      <c r="AK142" s="86"/>
      <c r="AL142" s="775"/>
      <c r="AM142" s="775"/>
      <c r="AN142" s="536"/>
      <c r="AP142" s="53"/>
      <c r="AQ142" s="108"/>
      <c r="AR142" s="108"/>
      <c r="AS142" s="724"/>
      <c r="AT142" s="724"/>
      <c r="AU142" s="724"/>
      <c r="AV142" s="634"/>
      <c r="AW142" s="108"/>
      <c r="AX142" s="725"/>
      <c r="AY142" s="53"/>
      <c r="AZ142" s="108"/>
      <c r="BA142" s="771"/>
      <c r="BB142" s="108"/>
      <c r="BC142" s="724"/>
      <c r="BD142" s="724"/>
      <c r="BE142" s="724"/>
      <c r="BF142" s="634"/>
      <c r="BG142" s="108"/>
      <c r="BH142" s="725"/>
      <c r="BI142" s="725"/>
      <c r="BJ142" s="725"/>
      <c r="BK142" s="725"/>
      <c r="BL142" s="634"/>
      <c r="BM142" s="724"/>
      <c r="BN142" s="475"/>
      <c r="BO142" s="475"/>
      <c r="BP142" s="10"/>
      <c r="BY142" s="14">
        <v>9.9860000000000007</v>
      </c>
    </row>
    <row r="143" spans="1:77" s="437" customFormat="1" ht="15" customHeight="1" x14ac:dyDescent="0.15">
      <c r="A143" s="783" t="str">
        <f>'r-in'!A97</f>
        <v>024_U</v>
      </c>
      <c r="B143" s="258" t="s">
        <v>919</v>
      </c>
      <c r="C143" s="567">
        <f>'r-in'!P97</f>
        <v>-198.26126806178272</v>
      </c>
      <c r="D143" s="567">
        <f>'r-in'!Q97</f>
        <v>-82.8162441475978</v>
      </c>
      <c r="E143" s="568">
        <f>'r-in'!R97</f>
        <v>108998.7407567271</v>
      </c>
      <c r="F143" s="567">
        <f>'r-in'!S97</f>
        <v>1.1215185002889176</v>
      </c>
      <c r="G143" s="568">
        <f>'r-in'!T97</f>
        <v>276.81546554907345</v>
      </c>
      <c r="H143" s="567">
        <f>'r-in'!U97</f>
        <v>55.220309092216269</v>
      </c>
      <c r="I143" s="568">
        <f>'r-in'!V97</f>
        <v>19.000353200942094</v>
      </c>
      <c r="J143" s="567">
        <f>'r-in'!W97</f>
        <v>650.58472381112597</v>
      </c>
      <c r="K143" s="568">
        <f>'r-in'!X97</f>
        <v>411245.46778072999</v>
      </c>
      <c r="L143" s="567">
        <f>'r-in'!Y97</f>
        <v>1.3422517687897366</v>
      </c>
      <c r="M143" s="568">
        <f>'r-in'!Z97</f>
        <v>517.26955909131232</v>
      </c>
      <c r="N143" s="567">
        <f>'r-in'!AA97</f>
        <v>35.859681057522394</v>
      </c>
      <c r="O143" s="568">
        <f>'r-in'!AB97</f>
        <v>70599.611396554465</v>
      </c>
      <c r="P143" s="567">
        <f>'r-in'!AC97</f>
        <v>1.7393700165488111</v>
      </c>
      <c r="Q143" s="568">
        <f>'r-in'!AD97</f>
        <v>324731.87033851602</v>
      </c>
      <c r="R143" s="567">
        <f>'r-in'!AE97</f>
        <v>1.6894791185750995</v>
      </c>
      <c r="S143" s="588">
        <f>'r-in'!AF97</f>
        <v>4.6000129244592234</v>
      </c>
      <c r="T143" s="588">
        <f>'r-in'!AG97</f>
        <v>0.22225076504821725</v>
      </c>
      <c r="U143" s="588">
        <f>'r-in'!AH97</f>
        <v>4.6043398781424969</v>
      </c>
      <c r="V143" s="588">
        <f>'r-in'!AI97</f>
        <v>0.29262377177550181</v>
      </c>
      <c r="W143" s="569">
        <v>24</v>
      </c>
      <c r="X143" s="776">
        <f t="shared" si="93"/>
        <v>0.88034165992881486</v>
      </c>
      <c r="Y143" s="610">
        <f t="shared" si="101"/>
        <v>4.0533922112004026</v>
      </c>
      <c r="Z143" s="639">
        <f t="shared" si="102"/>
        <v>0.22225076504821725</v>
      </c>
      <c r="AA143" s="666">
        <f t="shared" si="104"/>
        <v>-0.27322451587064034</v>
      </c>
      <c r="AB143" s="667">
        <f t="shared" si="105"/>
        <v>2.2219004069053971</v>
      </c>
      <c r="AC143" s="570">
        <v>1</v>
      </c>
      <c r="AD143" s="787">
        <f t="shared" si="96"/>
        <v>7.1336235325154998E-2</v>
      </c>
      <c r="AE143" s="571">
        <v>285</v>
      </c>
      <c r="AF143" s="571">
        <v>14</v>
      </c>
      <c r="AG143" s="571">
        <v>2.1</v>
      </c>
      <c r="AH143" s="572">
        <f t="shared" si="103"/>
        <v>8.8839659868651291E-2</v>
      </c>
      <c r="AI143" s="742">
        <f t="shared" si="106"/>
        <v>627.78074725482134</v>
      </c>
      <c r="AJ143" s="742"/>
      <c r="AK143" s="742"/>
      <c r="AL143" s="788">
        <f>AGaverage(AA143:AA157)</f>
        <v>-1.7943000666569138</v>
      </c>
      <c r="AM143" s="788">
        <f>STDEV(AA143:AA157)/(COUNT(AA143:AA157)-1)^0.5</f>
        <v>1.2433925382065567</v>
      </c>
      <c r="AN143" s="573"/>
      <c r="AP143" s="240"/>
      <c r="AQ143" s="570"/>
      <c r="AR143" s="241"/>
      <c r="AS143" s="723"/>
      <c r="AT143" s="777"/>
      <c r="AU143" s="777"/>
      <c r="AV143" s="778"/>
      <c r="AW143" s="570"/>
      <c r="AX143" s="723"/>
      <c r="AY143" s="240"/>
      <c r="AZ143" s="570"/>
      <c r="BA143" s="770"/>
      <c r="BB143" s="570"/>
      <c r="BC143" s="723"/>
      <c r="BD143" s="723"/>
      <c r="BE143" s="723"/>
      <c r="BF143" s="624"/>
      <c r="BG143" s="570"/>
      <c r="BH143" s="769"/>
      <c r="BI143" s="769"/>
      <c r="BJ143" s="769"/>
      <c r="BK143" s="769"/>
      <c r="BL143" s="769"/>
      <c r="BM143" s="769"/>
      <c r="BN143" s="574"/>
      <c r="BO143" s="574"/>
      <c r="BP143" s="574"/>
      <c r="BY143" s="437">
        <v>9.9860000000000007</v>
      </c>
    </row>
    <row r="144" spans="1:77" ht="15" customHeight="1" x14ac:dyDescent="0.15">
      <c r="A144" s="782" t="str">
        <f>'r-in'!A98</f>
        <v>025_U</v>
      </c>
      <c r="B144" s="258" t="s">
        <v>919</v>
      </c>
      <c r="C144" s="162">
        <f>'r-in'!P98</f>
        <v>-64.705430318903737</v>
      </c>
      <c r="D144" s="162">
        <f>'r-in'!Q98</f>
        <v>-297.98552964655369</v>
      </c>
      <c r="E144" s="81">
        <f>'r-in'!R98</f>
        <v>110893.54363439881</v>
      </c>
      <c r="F144" s="162">
        <f>'r-in'!S98</f>
        <v>0.64548250197864587</v>
      </c>
      <c r="G144" s="81">
        <f>'r-in'!T98</f>
        <v>48.75664426773325</v>
      </c>
      <c r="H144" s="162">
        <f>'r-in'!U98</f>
        <v>300.69225171411711</v>
      </c>
      <c r="I144" s="81">
        <f>'r-in'!V98</f>
        <v>-12.817066750426003</v>
      </c>
      <c r="J144" s="162">
        <f>'r-in'!W98</f>
        <v>-985.02709066485454</v>
      </c>
      <c r="K144" s="81">
        <f>'r-in'!X98</f>
        <v>421069.76064613083</v>
      </c>
      <c r="L144" s="162">
        <f>'r-in'!Y98</f>
        <v>0.77266052109031802</v>
      </c>
      <c r="M144" s="81">
        <f>'r-in'!Z98</f>
        <v>479.33370515612063</v>
      </c>
      <c r="N144" s="162">
        <f>'r-in'!AA98</f>
        <v>56.921256021454894</v>
      </c>
      <c r="O144" s="81">
        <f>'r-in'!AB98</f>
        <v>72750.519115663032</v>
      </c>
      <c r="P144" s="162">
        <f>'r-in'!AC98</f>
        <v>0.98646001085061286</v>
      </c>
      <c r="Q144" s="81">
        <f>'r-in'!AD98</f>
        <v>335691.8818048113</v>
      </c>
      <c r="R144" s="162">
        <f>'r-in'!AE98</f>
        <v>0.96615069005737186</v>
      </c>
      <c r="S144" s="157">
        <f>'r-in'!AF98</f>
        <v>4.6040657033015844</v>
      </c>
      <c r="T144" s="157">
        <f>'r-in'!AG98</f>
        <v>0.21851757270039235</v>
      </c>
      <c r="U144" s="157">
        <f>'r-in'!AH98</f>
        <v>4.616889222074831</v>
      </c>
      <c r="V144" s="157">
        <f>'r-in'!AI98</f>
        <v>0.29303230631197863</v>
      </c>
      <c r="W144" s="158">
        <v>25</v>
      </c>
      <c r="X144" s="764">
        <f t="shared" si="93"/>
        <v>0.88032291171578381</v>
      </c>
      <c r="Y144" s="387">
        <f t="shared" si="101"/>
        <v>4.064353363046135</v>
      </c>
      <c r="Z144" s="640">
        <f t="shared" si="102"/>
        <v>0.21851757270039235</v>
      </c>
      <c r="AA144" s="473">
        <f t="shared" si="104"/>
        <v>2.4302288928683691</v>
      </c>
      <c r="AB144" s="478">
        <f t="shared" si="105"/>
        <v>2.1904862041914885</v>
      </c>
      <c r="AC144" s="108">
        <v>1</v>
      </c>
      <c r="AD144" s="159">
        <f t="shared" si="96"/>
        <v>7.1336235325154998E-2</v>
      </c>
      <c r="AE144" s="160">
        <v>285</v>
      </c>
      <c r="AF144" s="160">
        <v>14</v>
      </c>
      <c r="AG144" s="160">
        <v>2.1</v>
      </c>
      <c r="AH144" s="303">
        <f t="shared" si="103"/>
        <v>9.2043382605497867E-2</v>
      </c>
      <c r="AI144" s="86">
        <f t="shared" si="106"/>
        <v>700.33022546469022</v>
      </c>
      <c r="AJ144" s="86"/>
      <c r="AK144" s="86"/>
      <c r="AL144" s="775"/>
      <c r="AM144" s="775"/>
      <c r="AN144" s="536"/>
      <c r="AP144" s="53"/>
      <c r="AQ144" s="108"/>
      <c r="AR144" s="108"/>
      <c r="AS144" s="724"/>
      <c r="AT144" s="724"/>
      <c r="AU144" s="724"/>
      <c r="AV144" s="634"/>
      <c r="AW144" s="108"/>
      <c r="AX144" s="725"/>
      <c r="AY144" s="53"/>
      <c r="AZ144" s="108"/>
      <c r="BA144" s="771"/>
      <c r="BB144" s="108"/>
      <c r="BC144" s="724"/>
      <c r="BD144" s="724"/>
      <c r="BE144" s="724"/>
      <c r="BF144" s="634"/>
      <c r="BG144" s="108"/>
      <c r="BH144" s="725"/>
      <c r="BI144" s="725"/>
      <c r="BJ144" s="725"/>
      <c r="BK144" s="725"/>
      <c r="BL144" s="634"/>
      <c r="BM144" s="724"/>
      <c r="BN144" s="475"/>
      <c r="BO144" s="475"/>
      <c r="BP144" s="10"/>
      <c r="BY144" s="14">
        <v>9.9860000000000007</v>
      </c>
    </row>
    <row r="145" spans="1:77" ht="15" customHeight="1" x14ac:dyDescent="0.15">
      <c r="A145" s="782" t="str">
        <f>'r-in'!A99</f>
        <v>026_U</v>
      </c>
      <c r="B145" s="258" t="s">
        <v>919</v>
      </c>
      <c r="C145" s="162">
        <f>'r-in'!P99</f>
        <v>-87.817581877365484</v>
      </c>
      <c r="D145" s="162">
        <f>'r-in'!Q99</f>
        <v>-203.91982633730581</v>
      </c>
      <c r="E145" s="81">
        <f>'r-in'!R99</f>
        <v>116770.65398071763</v>
      </c>
      <c r="F145" s="162">
        <f>'r-in'!S99</f>
        <v>1.0582859838571741</v>
      </c>
      <c r="G145" s="81">
        <f>'r-in'!T99</f>
        <v>195.44661815458261</v>
      </c>
      <c r="H145" s="162">
        <f>'r-in'!U99</f>
        <v>81.968934477509023</v>
      </c>
      <c r="I145" s="81">
        <f>'r-in'!V99</f>
        <v>41.724521514800081</v>
      </c>
      <c r="J145" s="162">
        <f>'r-in'!W99</f>
        <v>314.20571269108501</v>
      </c>
      <c r="K145" s="81">
        <f>'r-in'!X99</f>
        <v>447284.91440323432</v>
      </c>
      <c r="L145" s="162">
        <f>'r-in'!Y99</f>
        <v>1.2653817471966835</v>
      </c>
      <c r="M145" s="81">
        <f>'r-in'!Z99</f>
        <v>211.75391764504354</v>
      </c>
      <c r="N145" s="162">
        <f>'r-in'!AA99</f>
        <v>110.73649055045814</v>
      </c>
      <c r="O145" s="81">
        <f>'r-in'!AB99</f>
        <v>79112.577804142507</v>
      </c>
      <c r="P145" s="162">
        <f>'r-in'!AC99</f>
        <v>1.5502060089354446</v>
      </c>
      <c r="Q145" s="81">
        <f>'r-in'!AD99</f>
        <v>363502.04870663432</v>
      </c>
      <c r="R145" s="162">
        <f>'r-in'!AE99</f>
        <v>1.5593611169826731</v>
      </c>
      <c r="S145" s="157">
        <f>'r-in'!AF99</f>
        <v>4.5799272847817774</v>
      </c>
      <c r="T145" s="157">
        <f>'r-in'!AG99</f>
        <v>0.17116782741865824</v>
      </c>
      <c r="U145" s="157">
        <f>'r-in'!AH99</f>
        <v>4.5952211420666167</v>
      </c>
      <c r="V145" s="157">
        <f>'r-in'!AI99</f>
        <v>0.20304142054806279</v>
      </c>
      <c r="W145" s="158">
        <v>26</v>
      </c>
      <c r="X145" s="764">
        <f t="shared" si="93"/>
        <v>0.88030525417724403</v>
      </c>
      <c r="Y145" s="387">
        <f t="shared" si="101"/>
        <v>4.0451973154675986</v>
      </c>
      <c r="Z145" s="640">
        <f t="shared" si="102"/>
        <v>0.17116782741865824</v>
      </c>
      <c r="AA145" s="473">
        <f t="shared" si="104"/>
        <v>-2.2944097995810653</v>
      </c>
      <c r="AB145" s="478">
        <f t="shared" si="105"/>
        <v>1.7077509827805315</v>
      </c>
      <c r="AC145" s="108">
        <v>1</v>
      </c>
      <c r="AD145" s="159">
        <f t="shared" si="96"/>
        <v>7.1336235325154998E-2</v>
      </c>
      <c r="AE145" s="160">
        <v>285</v>
      </c>
      <c r="AF145" s="160">
        <v>14</v>
      </c>
      <c r="AG145" s="160">
        <v>2.1</v>
      </c>
      <c r="AH145" s="303">
        <f t="shared" si="103"/>
        <v>9.9889607958729434E-2</v>
      </c>
      <c r="AI145" s="86">
        <f t="shared" si="106"/>
        <v>1716.6249047442013</v>
      </c>
      <c r="AJ145" s="86"/>
      <c r="AK145" s="86"/>
      <c r="AL145" s="86"/>
      <c r="AM145" s="86"/>
      <c r="AN145" s="536"/>
      <c r="AP145" s="53"/>
      <c r="AQ145" s="108"/>
      <c r="AR145" s="110"/>
      <c r="AS145" s="724"/>
      <c r="AT145" s="750"/>
      <c r="AU145" s="750"/>
      <c r="AV145" s="751"/>
      <c r="AW145" s="108"/>
      <c r="AX145" s="724"/>
      <c r="AY145" s="53"/>
      <c r="AZ145" s="108"/>
      <c r="BA145" s="771"/>
      <c r="BB145" s="108"/>
      <c r="BC145" s="724"/>
      <c r="BD145" s="724"/>
      <c r="BE145" s="724"/>
      <c r="BF145" s="634"/>
      <c r="BG145" s="108"/>
      <c r="BH145" s="725"/>
      <c r="BI145" s="725"/>
      <c r="BJ145" s="725"/>
      <c r="BK145" s="725"/>
      <c r="BL145" s="725"/>
      <c r="BM145" s="725"/>
      <c r="BN145" s="475"/>
      <c r="BO145" s="475"/>
      <c r="BP145" s="475"/>
      <c r="BY145" s="14">
        <v>9.9860000000000007</v>
      </c>
    </row>
    <row r="146" spans="1:77" ht="15" customHeight="1" x14ac:dyDescent="0.15">
      <c r="A146" s="782" t="str">
        <f>'r-in'!A100</f>
        <v>027_U</v>
      </c>
      <c r="B146" s="258" t="s">
        <v>919</v>
      </c>
      <c r="C146" s="162">
        <f>'r-in'!P100</f>
        <v>-137.88338777954846</v>
      </c>
      <c r="D146" s="162">
        <f>'r-in'!Q100</f>
        <v>-133.83615635556603</v>
      </c>
      <c r="E146" s="81">
        <f>'r-in'!R100</f>
        <v>108134.33769887708</v>
      </c>
      <c r="F146" s="162">
        <f>'r-in'!S100</f>
        <v>0.66686853129373291</v>
      </c>
      <c r="G146" s="81">
        <f>'r-in'!T100</f>
        <v>-73.010152411955517</v>
      </c>
      <c r="H146" s="162">
        <f>'r-in'!U100</f>
        <v>-249.99529920844483</v>
      </c>
      <c r="I146" s="81">
        <f>'r-in'!V100</f>
        <v>-108.21562403663572</v>
      </c>
      <c r="J146" s="162">
        <f>'r-in'!W100</f>
        <v>-105.53584111325256</v>
      </c>
      <c r="K146" s="81">
        <f>'r-in'!X100</f>
        <v>407410.72778175317</v>
      </c>
      <c r="L146" s="162">
        <f>'r-in'!Y100</f>
        <v>0.78966435403182744</v>
      </c>
      <c r="M146" s="81">
        <f>'r-in'!Z100</f>
        <v>-428.10591595264168</v>
      </c>
      <c r="N146" s="162">
        <f>'r-in'!AA100</f>
        <v>-56.811777244006343</v>
      </c>
      <c r="O146" s="81">
        <f>'r-in'!AB100</f>
        <v>70416.284228718461</v>
      </c>
      <c r="P146" s="162">
        <f>'r-in'!AC100</f>
        <v>1.0504823650506578</v>
      </c>
      <c r="Q146" s="81">
        <f>'r-in'!AD100</f>
        <v>323497.48283020942</v>
      </c>
      <c r="R146" s="162">
        <f>'r-in'!AE100</f>
        <v>1.0009357084234241</v>
      </c>
      <c r="S146" s="157">
        <f>'r-in'!AF100</f>
        <v>4.5949533416613022</v>
      </c>
      <c r="T146" s="157">
        <f>'r-in'!AG100</f>
        <v>0.21456159156445381</v>
      </c>
      <c r="U146" s="157">
        <f>'r-in'!AH100</f>
        <v>4.5968842601260409</v>
      </c>
      <c r="V146" s="157">
        <f>'r-in'!AI100</f>
        <v>0.24110406211851834</v>
      </c>
      <c r="W146" s="158">
        <v>27</v>
      </c>
      <c r="X146" s="764">
        <f t="shared" si="93"/>
        <v>0.88028866985058163</v>
      </c>
      <c r="Y146" s="387">
        <f t="shared" si="101"/>
        <v>4.046585130803428</v>
      </c>
      <c r="Z146" s="640">
        <f t="shared" si="102"/>
        <v>0.21456159156445381</v>
      </c>
      <c r="AA146" s="473">
        <f t="shared" si="104"/>
        <v>-1.9521196686574926</v>
      </c>
      <c r="AB146" s="478">
        <f t="shared" si="105"/>
        <v>2.1414274166143832</v>
      </c>
      <c r="AC146" s="108">
        <v>1</v>
      </c>
      <c r="AD146" s="159">
        <f t="shared" si="96"/>
        <v>7.1336235325154998E-2</v>
      </c>
      <c r="AE146" s="160">
        <v>285</v>
      </c>
      <c r="AF146" s="160">
        <v>14</v>
      </c>
      <c r="AG146" s="160">
        <v>2.1</v>
      </c>
      <c r="AH146" s="303">
        <f t="shared" si="103"/>
        <v>8.9091860450670052E-2</v>
      </c>
      <c r="AI146" s="86">
        <f t="shared" si="106"/>
        <v>-755.64824211865289</v>
      </c>
      <c r="AJ146" s="86"/>
      <c r="AK146" s="86"/>
      <c r="AL146" s="775"/>
      <c r="AM146" s="775"/>
      <c r="AN146" s="536"/>
      <c r="AP146" s="53"/>
      <c r="AQ146" s="108"/>
      <c r="AR146" s="108"/>
      <c r="AS146" s="724"/>
      <c r="AT146" s="724"/>
      <c r="AU146" s="724"/>
      <c r="AV146" s="634"/>
      <c r="AW146" s="108"/>
      <c r="AX146" s="725"/>
      <c r="AY146" s="53"/>
      <c r="AZ146" s="108"/>
      <c r="BA146" s="771"/>
      <c r="BB146" s="108"/>
      <c r="BC146" s="724"/>
      <c r="BD146" s="724"/>
      <c r="BE146" s="724"/>
      <c r="BF146" s="634"/>
      <c r="BG146" s="108"/>
      <c r="BH146" s="725"/>
      <c r="BI146" s="725"/>
      <c r="BJ146" s="725"/>
      <c r="BK146" s="725"/>
      <c r="BL146" s="634"/>
      <c r="BM146" s="724"/>
      <c r="BN146" s="475"/>
      <c r="BO146" s="475"/>
      <c r="BP146" s="10"/>
      <c r="BY146" s="14">
        <v>9.9860000000000007</v>
      </c>
    </row>
    <row r="147" spans="1:77" ht="15" customHeight="1" x14ac:dyDescent="0.15">
      <c r="A147" s="782" t="str">
        <f>'r-in'!A101</f>
        <v>028_U</v>
      </c>
      <c r="B147" s="258" t="s">
        <v>919</v>
      </c>
      <c r="C147" s="162">
        <f>'r-in'!P101</f>
        <v>-233.23983920507536</v>
      </c>
      <c r="D147" s="162">
        <f>'r-in'!Q101</f>
        <v>-77.618521298489469</v>
      </c>
      <c r="E147" s="81">
        <f>'r-in'!R101</f>
        <v>108275.17335274101</v>
      </c>
      <c r="F147" s="162">
        <f>'r-in'!S101</f>
        <v>1.0191878350042591</v>
      </c>
      <c r="G147" s="81">
        <f>'r-in'!T101</f>
        <v>-69.120977292315246</v>
      </c>
      <c r="H147" s="162">
        <f>'r-in'!U101</f>
        <v>-249.4713923740469</v>
      </c>
      <c r="I147" s="81">
        <f>'r-in'!V101</f>
        <v>-158.18516383095658</v>
      </c>
      <c r="J147" s="162">
        <f>'r-in'!W101</f>
        <v>-79.188935270120595</v>
      </c>
      <c r="K147" s="81">
        <f>'r-in'!X101</f>
        <v>406506.03072877816</v>
      </c>
      <c r="L147" s="162">
        <f>'r-in'!Y101</f>
        <v>1.2135522020690421</v>
      </c>
      <c r="M147" s="81">
        <f>'r-in'!Z101</f>
        <v>1340.4197182851376</v>
      </c>
      <c r="N147" s="162">
        <f>'r-in'!AA101</f>
        <v>16.934175186762474</v>
      </c>
      <c r="O147" s="81">
        <f>'r-in'!AB101</f>
        <v>70944.460706325539</v>
      </c>
      <c r="P147" s="162">
        <f>'r-in'!AC101</f>
        <v>1.5810702882049892</v>
      </c>
      <c r="Q147" s="81">
        <f>'r-in'!AD101</f>
        <v>322752.09517093585</v>
      </c>
      <c r="R147" s="162">
        <f>'r-in'!AE101</f>
        <v>1.5272305143858762</v>
      </c>
      <c r="S147" s="157">
        <f>'r-in'!AF101</f>
        <v>4.5740775643582259</v>
      </c>
      <c r="T147" s="157">
        <f>'r-in'!AG101</f>
        <v>0.21296059455946401</v>
      </c>
      <c r="U147" s="157">
        <f>'r-in'!AH101</f>
        <v>4.5531089929724855</v>
      </c>
      <c r="V147" s="157">
        <f>'r-in'!AI101</f>
        <v>0.24648543762199418</v>
      </c>
      <c r="W147" s="158">
        <v>28</v>
      </c>
      <c r="X147" s="764">
        <f t="shared" si="93"/>
        <v>0.88027314140091262</v>
      </c>
      <c r="Y147" s="387">
        <f t="shared" si="101"/>
        <v>4.0079795563846359</v>
      </c>
      <c r="Z147" s="640">
        <f t="shared" si="102"/>
        <v>0.21296059455946401</v>
      </c>
      <c r="AA147" s="473">
        <f t="shared" si="104"/>
        <v>-11.473780642585751</v>
      </c>
      <c r="AB147" s="478">
        <f t="shared" si="105"/>
        <v>2.1051713141198025</v>
      </c>
      <c r="AC147" s="108">
        <v>1</v>
      </c>
      <c r="AD147" s="159">
        <f t="shared" si="96"/>
        <v>7.1336235325154998E-2</v>
      </c>
      <c r="AE147" s="160">
        <v>285</v>
      </c>
      <c r="AF147" s="160">
        <v>14</v>
      </c>
      <c r="AG147" s="160">
        <v>2.1</v>
      </c>
      <c r="AH147" s="303">
        <f t="shared" si="103"/>
        <v>8.9080334899222596E-2</v>
      </c>
      <c r="AI147" s="86">
        <f t="shared" si="106"/>
        <v>240.78435341420362</v>
      </c>
      <c r="AJ147" s="86"/>
      <c r="AK147" s="86"/>
      <c r="AL147" s="86"/>
      <c r="AM147" s="86"/>
      <c r="AN147" s="536"/>
      <c r="AP147" s="53"/>
      <c r="AQ147" s="108"/>
      <c r="AR147" s="110"/>
      <c r="AS147" s="724"/>
      <c r="AT147" s="750"/>
      <c r="AU147" s="750"/>
      <c r="AV147" s="751"/>
      <c r="AW147" s="108"/>
      <c r="AX147" s="724"/>
      <c r="AY147" s="53"/>
      <c r="AZ147" s="108"/>
      <c r="BA147" s="771"/>
      <c r="BB147" s="108"/>
      <c r="BC147" s="724"/>
      <c r="BD147" s="724"/>
      <c r="BE147" s="724"/>
      <c r="BF147" s="634"/>
      <c r="BG147" s="108"/>
      <c r="BH147" s="725"/>
      <c r="BI147" s="725"/>
      <c r="BJ147" s="725"/>
      <c r="BK147" s="725"/>
      <c r="BL147" s="725"/>
      <c r="BM147" s="725"/>
      <c r="BN147" s="475"/>
      <c r="BO147" s="475"/>
      <c r="BP147" s="475"/>
      <c r="BY147" s="14">
        <v>9.9860000000000007</v>
      </c>
    </row>
    <row r="148" spans="1:77" ht="15" customHeight="1" x14ac:dyDescent="0.15">
      <c r="A148" s="782" t="str">
        <f>'r-in'!A102</f>
        <v>029_U</v>
      </c>
      <c r="B148" s="258" t="s">
        <v>919</v>
      </c>
      <c r="C148" s="162">
        <f>'r-in'!P102</f>
        <v>-65.326560765350735</v>
      </c>
      <c r="D148" s="162">
        <f>'r-in'!Q102</f>
        <v>-272.49308559765495</v>
      </c>
      <c r="E148" s="81">
        <f>'r-in'!R102</f>
        <v>101795.58194945127</v>
      </c>
      <c r="F148" s="162">
        <f>'r-in'!S102</f>
        <v>0.71130263178821684</v>
      </c>
      <c r="G148" s="81">
        <f>'r-in'!T102</f>
        <v>123.41565994782493</v>
      </c>
      <c r="H148" s="162">
        <f>'r-in'!U102</f>
        <v>143.43629844367121</v>
      </c>
      <c r="I148" s="81">
        <f>'r-in'!V102</f>
        <v>20.988844666523555</v>
      </c>
      <c r="J148" s="162">
        <f>'r-in'!W102</f>
        <v>618.90656059456785</v>
      </c>
      <c r="K148" s="81">
        <f>'r-in'!X102</f>
        <v>379113.24450703576</v>
      </c>
      <c r="L148" s="162">
        <f>'r-in'!Y102</f>
        <v>0.85645110745547215</v>
      </c>
      <c r="M148" s="81">
        <f>'r-in'!Z102</f>
        <v>845.84064146423668</v>
      </c>
      <c r="N148" s="162">
        <f>'r-in'!AA102</f>
        <v>25.499990276662022</v>
      </c>
      <c r="O148" s="81">
        <f>'r-in'!AB102</f>
        <v>64308.02205128019</v>
      </c>
      <c r="P148" s="162">
        <f>'r-in'!AC102</f>
        <v>1.1254627271119453</v>
      </c>
      <c r="Q148" s="81">
        <f>'r-in'!AD102</f>
        <v>295876.24431868887</v>
      </c>
      <c r="R148" s="162">
        <f>'r-in'!AE102</f>
        <v>1.0928396604905342</v>
      </c>
      <c r="S148" s="157">
        <f>'r-in'!AF102</f>
        <v>4.5880966753284902</v>
      </c>
      <c r="T148" s="157">
        <f>'r-in'!AG102</f>
        <v>0.1989356236018803</v>
      </c>
      <c r="U148" s="157">
        <f>'r-in'!AH102</f>
        <v>4.6039806728499491</v>
      </c>
      <c r="V148" s="157">
        <f>'r-in'!AI102</f>
        <v>0.30504829725303045</v>
      </c>
      <c r="W148" s="158">
        <v>29</v>
      </c>
      <c r="X148" s="764">
        <f t="shared" si="93"/>
        <v>0.88025865162064221</v>
      </c>
      <c r="Y148" s="387">
        <f t="shared" si="101"/>
        <v>4.0526938191703934</v>
      </c>
      <c r="Z148" s="640">
        <f t="shared" si="102"/>
        <v>0.1989356236018803</v>
      </c>
      <c r="AA148" s="473">
        <f t="shared" si="104"/>
        <v>-0.44547560232000016</v>
      </c>
      <c r="AB148" s="478">
        <f t="shared" si="105"/>
        <v>1.9884700263513855</v>
      </c>
      <c r="AC148" s="108">
        <v>1</v>
      </c>
      <c r="AD148" s="159">
        <f t="shared" si="96"/>
        <v>7.1336235325154998E-2</v>
      </c>
      <c r="AE148" s="160">
        <v>285</v>
      </c>
      <c r="AF148" s="160">
        <v>14</v>
      </c>
      <c r="AG148" s="160">
        <v>2.1</v>
      </c>
      <c r="AH148" s="303">
        <f t="shared" si="103"/>
        <v>8.1839034703096225E-2</v>
      </c>
      <c r="AI148" s="86">
        <f t="shared" si="106"/>
        <v>349.80140444244535</v>
      </c>
      <c r="AJ148" s="86"/>
      <c r="AK148" s="86"/>
      <c r="AL148" s="775"/>
      <c r="AM148" s="775"/>
      <c r="AN148" s="536"/>
      <c r="AP148" s="53"/>
      <c r="AQ148" s="108"/>
      <c r="AR148" s="108"/>
      <c r="AS148" s="724"/>
      <c r="AT148" s="724"/>
      <c r="AU148" s="724"/>
      <c r="AV148" s="634"/>
      <c r="AW148" s="108"/>
      <c r="AX148" s="725"/>
      <c r="AY148" s="53"/>
      <c r="AZ148" s="108"/>
      <c r="BA148" s="771"/>
      <c r="BB148" s="108"/>
      <c r="BC148" s="724"/>
      <c r="BD148" s="724"/>
      <c r="BE148" s="724"/>
      <c r="BF148" s="634"/>
      <c r="BG148" s="108"/>
      <c r="BH148" s="725"/>
      <c r="BI148" s="725"/>
      <c r="BJ148" s="725"/>
      <c r="BK148" s="725"/>
      <c r="BL148" s="634"/>
      <c r="BM148" s="724"/>
      <c r="BN148" s="475"/>
      <c r="BO148" s="475"/>
      <c r="BP148" s="10"/>
      <c r="BY148" s="14">
        <v>9.9860000000000007</v>
      </c>
    </row>
    <row r="149" spans="1:77" ht="15" customHeight="1" x14ac:dyDescent="0.15">
      <c r="A149" s="782" t="str">
        <f>'r-in'!A103</f>
        <v>030_U</v>
      </c>
      <c r="B149" s="258" t="s">
        <v>919</v>
      </c>
      <c r="C149" s="162">
        <f>'r-in'!P103</f>
        <v>-369.1410708958191</v>
      </c>
      <c r="D149" s="162">
        <f>'r-in'!Q103</f>
        <v>-45.567253991067709</v>
      </c>
      <c r="E149" s="81">
        <f>'r-in'!R103</f>
        <v>120799.0591362811</v>
      </c>
      <c r="F149" s="162">
        <f>'r-in'!S103</f>
        <v>0.86038424597936181</v>
      </c>
      <c r="G149" s="81">
        <f>'r-in'!T103</f>
        <v>-239.08242023727468</v>
      </c>
      <c r="H149" s="162">
        <f>'r-in'!U103</f>
        <v>-69.048791865574415</v>
      </c>
      <c r="I149" s="81">
        <f>'r-in'!V103</f>
        <v>-309.66277759665013</v>
      </c>
      <c r="J149" s="162">
        <f>'r-in'!W103</f>
        <v>-39.548253108598487</v>
      </c>
      <c r="K149" s="81">
        <f>'r-in'!X103</f>
        <v>467613.10888316249</v>
      </c>
      <c r="L149" s="162">
        <f>'r-in'!Y103</f>
        <v>1.0111618340216002</v>
      </c>
      <c r="M149" s="81">
        <f>'r-in'!Z103</f>
        <v>76.74812633070394</v>
      </c>
      <c r="N149" s="162">
        <f>'r-in'!AA103</f>
        <v>294.51518860079011</v>
      </c>
      <c r="O149" s="81">
        <f>'r-in'!AB103</f>
        <v>83818.7783092092</v>
      </c>
      <c r="P149" s="162">
        <f>'r-in'!AC103</f>
        <v>1.2290886421693956</v>
      </c>
      <c r="Q149" s="81">
        <f>'r-in'!AD103</f>
        <v>385054.04907641996</v>
      </c>
      <c r="R149" s="162">
        <f>'r-in'!AE103</f>
        <v>1.2274325813985594</v>
      </c>
      <c r="S149" s="157">
        <f>'r-in'!AF103</f>
        <v>4.6053283305376818</v>
      </c>
      <c r="T149" s="157">
        <f>'r-in'!AG103</f>
        <v>0.16367749086791519</v>
      </c>
      <c r="U149" s="157">
        <f>'r-in'!AH103</f>
        <v>4.5944080852620317</v>
      </c>
      <c r="V149" s="157">
        <f>'r-in'!AI103</f>
        <v>0.14486972833105702</v>
      </c>
      <c r="W149" s="158">
        <v>30</v>
      </c>
      <c r="X149" s="764">
        <f t="shared" si="93"/>
        <v>0.88024518342903568</v>
      </c>
      <c r="Y149" s="387">
        <f t="shared" si="101"/>
        <v>4.0442055877593219</v>
      </c>
      <c r="Z149" s="640">
        <f t="shared" si="102"/>
        <v>0.16367749086791519</v>
      </c>
      <c r="AA149" s="473">
        <f t="shared" si="104"/>
        <v>-2.5390090617037897</v>
      </c>
      <c r="AB149" s="478">
        <f t="shared" si="105"/>
        <v>1.6326191223540176</v>
      </c>
      <c r="AC149" s="108">
        <v>1</v>
      </c>
      <c r="AD149" s="159">
        <f t="shared" si="96"/>
        <v>7.1336235325154998E-2</v>
      </c>
      <c r="AE149" s="160">
        <v>285</v>
      </c>
      <c r="AF149" s="160">
        <v>14</v>
      </c>
      <c r="AG149" s="160">
        <v>2.1</v>
      </c>
      <c r="AH149" s="303">
        <f t="shared" si="103"/>
        <v>0.10673373744416423</v>
      </c>
      <c r="AI149" s="86">
        <f t="shared" si="106"/>
        <v>5017.1133483733638</v>
      </c>
      <c r="AJ149" s="86"/>
      <c r="AK149" s="86"/>
      <c r="AL149" s="86"/>
      <c r="AM149" s="86"/>
      <c r="AN149" s="536"/>
      <c r="AP149" s="53"/>
      <c r="AQ149" s="108"/>
      <c r="AR149" s="110"/>
      <c r="AS149" s="724"/>
      <c r="AT149" s="750"/>
      <c r="AU149" s="750"/>
      <c r="AV149" s="751"/>
      <c r="AW149" s="108"/>
      <c r="AX149" s="724"/>
      <c r="AY149" s="53"/>
      <c r="AZ149" s="108"/>
      <c r="BA149" s="771"/>
      <c r="BB149" s="108"/>
      <c r="BC149" s="724"/>
      <c r="BD149" s="724"/>
      <c r="BE149" s="724"/>
      <c r="BF149" s="634"/>
      <c r="BG149" s="108"/>
      <c r="BH149" s="725"/>
      <c r="BI149" s="725"/>
      <c r="BJ149" s="725"/>
      <c r="BK149" s="725"/>
      <c r="BL149" s="725"/>
      <c r="BM149" s="725"/>
      <c r="BN149" s="475"/>
      <c r="BO149" s="475"/>
      <c r="BP149" s="475"/>
      <c r="BY149" s="14">
        <v>9.9860000000000007</v>
      </c>
    </row>
    <row r="150" spans="1:77" ht="15" customHeight="1" x14ac:dyDescent="0.15">
      <c r="A150" s="782" t="str">
        <f>'r-in'!A104</f>
        <v>031_U</v>
      </c>
      <c r="B150" s="258" t="s">
        <v>919</v>
      </c>
      <c r="C150" s="162">
        <f>'r-in'!P104</f>
        <v>-520.37338909830021</v>
      </c>
      <c r="D150" s="162">
        <f>'r-in'!Q104</f>
        <v>-35.301726651570178</v>
      </c>
      <c r="E150" s="81">
        <f>'r-in'!R104</f>
        <v>107302.60063945418</v>
      </c>
      <c r="F150" s="162">
        <f>'r-in'!S104</f>
        <v>0.67535441800249341</v>
      </c>
      <c r="G150" s="81">
        <f>'r-in'!T104</f>
        <v>-406.15313171341126</v>
      </c>
      <c r="H150" s="162">
        <f>'r-in'!U104</f>
        <v>-36.150106752646977</v>
      </c>
      <c r="I150" s="81">
        <f>'r-in'!V104</f>
        <v>-468.13829412348792</v>
      </c>
      <c r="J150" s="162">
        <f>'r-in'!W104</f>
        <v>-25.285830414641687</v>
      </c>
      <c r="K150" s="81">
        <f>'r-in'!X104</f>
        <v>403510.40448411193</v>
      </c>
      <c r="L150" s="162">
        <f>'r-in'!Y104</f>
        <v>0.804718424991959</v>
      </c>
      <c r="M150" s="81">
        <f>'r-in'!Z104</f>
        <v>967.31239328452091</v>
      </c>
      <c r="N150" s="162">
        <f>'r-in'!AA104</f>
        <v>21.860149826788248</v>
      </c>
      <c r="O150" s="81">
        <f>'r-in'!AB104</f>
        <v>70378.730012596454</v>
      </c>
      <c r="P150" s="162">
        <f>'r-in'!AC104</f>
        <v>1.0155558678871799</v>
      </c>
      <c r="Q150" s="81">
        <f>'r-in'!AD104</f>
        <v>320342.0398725979</v>
      </c>
      <c r="R150" s="162">
        <f>'r-in'!AE104</f>
        <v>1.0034842060498006</v>
      </c>
      <c r="S150" s="157">
        <f>'r-in'!AF104</f>
        <v>4.599458274349046</v>
      </c>
      <c r="T150" s="157">
        <f>'r-in'!AG104</f>
        <v>0.22257757785112833</v>
      </c>
      <c r="U150" s="157">
        <f>'r-in'!AH104</f>
        <v>4.5532288701194545</v>
      </c>
      <c r="V150" s="157">
        <f>'r-in'!AI104</f>
        <v>0.23720865137745611</v>
      </c>
      <c r="W150" s="158">
        <v>31</v>
      </c>
      <c r="X150" s="764">
        <f t="shared" si="93"/>
        <v>0.88023271987179952</v>
      </c>
      <c r="Y150" s="387">
        <f t="shared" si="101"/>
        <v>4.0079010325440478</v>
      </c>
      <c r="Z150" s="640">
        <f t="shared" si="102"/>
        <v>0.22257757785112833</v>
      </c>
      <c r="AA150" s="473">
        <f t="shared" si="104"/>
        <v>-11.493147726218345</v>
      </c>
      <c r="AB150" s="478">
        <f t="shared" si="105"/>
        <v>2.2001946086833701</v>
      </c>
      <c r="AC150" s="108">
        <v>1</v>
      </c>
      <c r="AD150" s="159">
        <f t="shared" si="96"/>
        <v>7.1336235325154998E-2</v>
      </c>
      <c r="AE150" s="160">
        <v>285</v>
      </c>
      <c r="AF150" s="160">
        <v>14</v>
      </c>
      <c r="AG150" s="160">
        <v>2.1</v>
      </c>
      <c r="AH150" s="303">
        <f t="shared" si="103"/>
        <v>8.8984749868829843E-2</v>
      </c>
      <c r="AI150" s="86">
        <f t="shared" si="106"/>
        <v>331.16709978755949</v>
      </c>
      <c r="AJ150" s="86"/>
      <c r="AK150" s="86"/>
      <c r="AL150" s="775"/>
      <c r="AM150" s="775"/>
      <c r="AN150" s="536"/>
      <c r="AP150" s="53"/>
      <c r="AQ150" s="108"/>
      <c r="AR150" s="108"/>
      <c r="AS150" s="724"/>
      <c r="AT150" s="724"/>
      <c r="AU150" s="724"/>
      <c r="AV150" s="634"/>
      <c r="AW150" s="108"/>
      <c r="AX150" s="725"/>
      <c r="AY150" s="53"/>
      <c r="AZ150" s="108"/>
      <c r="BA150" s="771"/>
      <c r="BB150" s="108"/>
      <c r="BC150" s="724"/>
      <c r="BD150" s="724"/>
      <c r="BE150" s="724"/>
      <c r="BF150" s="634"/>
      <c r="BG150" s="108"/>
      <c r="BH150" s="725"/>
      <c r="BI150" s="725"/>
      <c r="BJ150" s="725"/>
      <c r="BK150" s="725"/>
      <c r="BL150" s="634"/>
      <c r="BM150" s="724"/>
      <c r="BN150" s="475"/>
      <c r="BO150" s="475"/>
      <c r="BP150" s="10"/>
      <c r="BY150" s="14">
        <v>9.9860000000000007</v>
      </c>
    </row>
    <row r="151" spans="1:77" ht="15" customHeight="1" x14ac:dyDescent="0.15">
      <c r="A151" s="782" t="str">
        <f>'r-in'!A105</f>
        <v>032_U</v>
      </c>
      <c r="B151" s="258" t="s">
        <v>919</v>
      </c>
      <c r="C151" s="162">
        <f>'r-in'!P105</f>
        <v>-112.9716230624947</v>
      </c>
      <c r="D151" s="162">
        <f>'r-in'!Q105</f>
        <v>-166.11201917338656</v>
      </c>
      <c r="E151" s="81">
        <f>'r-in'!R105</f>
        <v>105359.90189934977</v>
      </c>
      <c r="F151" s="162">
        <f>'r-in'!S105</f>
        <v>0.74779263692746267</v>
      </c>
      <c r="G151" s="81">
        <f>'r-in'!T105</f>
        <v>72.336529860060025</v>
      </c>
      <c r="H151" s="162">
        <f>'r-in'!U105</f>
        <v>210.02939640444507</v>
      </c>
      <c r="I151" s="81">
        <f>'r-in'!V105</f>
        <v>-28.226682111264854</v>
      </c>
      <c r="J151" s="162">
        <f>'r-in'!W105</f>
        <v>-417.73744369748528</v>
      </c>
      <c r="K151" s="81">
        <f>'r-in'!X105</f>
        <v>396077.61625402031</v>
      </c>
      <c r="L151" s="162">
        <f>'r-in'!Y105</f>
        <v>0.88390387650379676</v>
      </c>
      <c r="M151" s="81">
        <f>'r-in'!Z105</f>
        <v>226.31505949290133</v>
      </c>
      <c r="N151" s="162">
        <f>'r-in'!AA105</f>
        <v>130.32336827900622</v>
      </c>
      <c r="O151" s="81">
        <f>'r-in'!AB105</f>
        <v>68030.783631410974</v>
      </c>
      <c r="P151" s="162">
        <f>'r-in'!AC105</f>
        <v>1.1563786032503547</v>
      </c>
      <c r="Q151" s="81">
        <f>'r-in'!AD105</f>
        <v>314173.63050616317</v>
      </c>
      <c r="R151" s="162">
        <f>'r-in'!AE105</f>
        <v>1.1322686502797641</v>
      </c>
      <c r="S151" s="157">
        <f>'r-in'!AF105</f>
        <v>4.6043981810609775</v>
      </c>
      <c r="T151" s="157">
        <f>'r-in'!AG105</f>
        <v>0.23512959483553994</v>
      </c>
      <c r="U151" s="157">
        <f>'r-in'!AH105</f>
        <v>4.6201776232626761</v>
      </c>
      <c r="V151" s="157">
        <f>'r-in'!AI105</f>
        <v>0.25748248221569292</v>
      </c>
      <c r="W151" s="158">
        <v>32</v>
      </c>
      <c r="X151" s="764">
        <f t="shared" si="93"/>
        <v>0.88022124412067304</v>
      </c>
      <c r="Y151" s="387">
        <f t="shared" si="101"/>
        <v>4.0667784956067674</v>
      </c>
      <c r="Z151" s="640">
        <f t="shared" si="102"/>
        <v>0.23512959483553994</v>
      </c>
      <c r="AA151" s="473">
        <f t="shared" si="104"/>
        <v>3.0283624631317618</v>
      </c>
      <c r="AB151" s="478">
        <f t="shared" si="105"/>
        <v>2.3584165247452216</v>
      </c>
      <c r="AC151" s="108">
        <v>1</v>
      </c>
      <c r="AD151" s="159">
        <f t="shared" si="96"/>
        <v>7.1336235325154998E-2</v>
      </c>
      <c r="AE151" s="160">
        <v>285</v>
      </c>
      <c r="AF151" s="160">
        <v>14</v>
      </c>
      <c r="AG151" s="160">
        <v>2.1</v>
      </c>
      <c r="AH151" s="303">
        <f t="shared" si="103"/>
        <v>8.7455075184569978E-2</v>
      </c>
      <c r="AI151" s="86">
        <f t="shared" si="106"/>
        <v>1388.2135427051317</v>
      </c>
      <c r="AJ151" s="86"/>
      <c r="AK151" s="86"/>
      <c r="AL151" s="86"/>
      <c r="AM151" s="86"/>
      <c r="AN151" s="536"/>
      <c r="AP151" s="53"/>
      <c r="AQ151" s="108"/>
      <c r="AR151" s="110"/>
      <c r="AS151" s="724"/>
      <c r="AT151" s="750"/>
      <c r="AU151" s="750"/>
      <c r="AV151" s="751"/>
      <c r="AW151" s="108"/>
      <c r="AX151" s="724"/>
      <c r="AY151" s="53"/>
      <c r="AZ151" s="108"/>
      <c r="BA151" s="771"/>
      <c r="BB151" s="108"/>
      <c r="BC151" s="724"/>
      <c r="BD151" s="724"/>
      <c r="BE151" s="724"/>
      <c r="BF151" s="634"/>
      <c r="BG151" s="108"/>
      <c r="BH151" s="725"/>
      <c r="BI151" s="725"/>
      <c r="BJ151" s="725"/>
      <c r="BK151" s="725"/>
      <c r="BL151" s="725"/>
      <c r="BM151" s="725"/>
      <c r="BN151" s="475"/>
      <c r="BO151" s="475"/>
      <c r="BP151" s="475"/>
      <c r="BY151" s="14">
        <v>9.9860000000000007</v>
      </c>
    </row>
    <row r="152" spans="1:77" ht="15" customHeight="1" x14ac:dyDescent="0.15">
      <c r="A152" s="782" t="str">
        <f>'r-in'!A106</f>
        <v>033_U</v>
      </c>
      <c r="B152" s="258" t="s">
        <v>919</v>
      </c>
      <c r="C152" s="162">
        <f>'r-in'!P106</f>
        <v>-319.50247697230327</v>
      </c>
      <c r="D152" s="162">
        <f>'r-in'!Q106</f>
        <v>-58.593504985101767</v>
      </c>
      <c r="E152" s="81">
        <f>'r-in'!R106</f>
        <v>109482.98755402811</v>
      </c>
      <c r="F152" s="162">
        <f>'r-in'!S106</f>
        <v>1.0894782353365882</v>
      </c>
      <c r="G152" s="81">
        <f>'r-in'!T106</f>
        <v>-321.64373805224301</v>
      </c>
      <c r="H152" s="162">
        <f>'r-in'!U106</f>
        <v>-51.672191876030723</v>
      </c>
      <c r="I152" s="81">
        <f>'r-in'!V106</f>
        <v>-320.48171636851316</v>
      </c>
      <c r="J152" s="162">
        <f>'r-in'!W106</f>
        <v>-39.884193178540137</v>
      </c>
      <c r="K152" s="81">
        <f>'r-in'!X106</f>
        <v>415888.55184435798</v>
      </c>
      <c r="L152" s="162">
        <f>'r-in'!Y106</f>
        <v>1.2988865983787878</v>
      </c>
      <c r="M152" s="81">
        <f>'r-in'!Z106</f>
        <v>-42.940715524050091</v>
      </c>
      <c r="N152" s="162">
        <f>'r-in'!AA106</f>
        <v>-759.72029605556031</v>
      </c>
      <c r="O152" s="81">
        <f>'r-in'!AB106</f>
        <v>72631.736054120993</v>
      </c>
      <c r="P152" s="162">
        <f>'r-in'!AC106</f>
        <v>1.6148843439825751</v>
      </c>
      <c r="Q152" s="81">
        <f>'r-in'!AD106</f>
        <v>334326.76875951892</v>
      </c>
      <c r="R152" s="162">
        <f>'r-in'!AE106</f>
        <v>1.6088627050750852</v>
      </c>
      <c r="S152" s="157">
        <f>'r-in'!AF106</f>
        <v>4.6199891997277502</v>
      </c>
      <c r="T152" s="157">
        <f>'r-in'!AG106</f>
        <v>0.18071962614933895</v>
      </c>
      <c r="U152" s="157">
        <f>'r-in'!AH106</f>
        <v>4.6040320869720848</v>
      </c>
      <c r="V152" s="157">
        <f>'r-in'!AI106</f>
        <v>0.17450495712887379</v>
      </c>
      <c r="W152" s="158">
        <v>33</v>
      </c>
      <c r="X152" s="764">
        <f t="shared" si="93"/>
        <v>0.88021073947303263</v>
      </c>
      <c r="Y152" s="387">
        <f t="shared" si="101"/>
        <v>4.0525184878312688</v>
      </c>
      <c r="Z152" s="640">
        <f t="shared" si="102"/>
        <v>0.18071962614933895</v>
      </c>
      <c r="AA152" s="473">
        <f t="shared" si="104"/>
        <v>-0.48871924250371013</v>
      </c>
      <c r="AB152" s="478">
        <f t="shared" si="105"/>
        <v>1.806313049905417</v>
      </c>
      <c r="AC152" s="108">
        <v>1</v>
      </c>
      <c r="AD152" s="159">
        <f t="shared" si="96"/>
        <v>7.1336235325154998E-2</v>
      </c>
      <c r="AE152" s="160">
        <v>285</v>
      </c>
      <c r="AF152" s="160">
        <v>14</v>
      </c>
      <c r="AG152" s="160">
        <v>2.1</v>
      </c>
      <c r="AH152" s="303">
        <f t="shared" si="103"/>
        <v>9.3259290026975944E-2</v>
      </c>
      <c r="AI152" s="86">
        <f t="shared" si="106"/>
        <v>-7785.7754506272795</v>
      </c>
      <c r="AJ152" s="86"/>
      <c r="AK152" s="86"/>
      <c r="AL152" s="775"/>
      <c r="AM152" s="775"/>
      <c r="AN152" s="536"/>
      <c r="AP152" s="53"/>
      <c r="AQ152" s="108"/>
      <c r="AR152" s="108"/>
      <c r="AS152" s="724"/>
      <c r="AT152" s="724"/>
      <c r="AU152" s="724"/>
      <c r="AV152" s="634"/>
      <c r="AW152" s="108"/>
      <c r="AX152" s="725"/>
      <c r="AY152" s="53"/>
      <c r="AZ152" s="108"/>
      <c r="BA152" s="771"/>
      <c r="BB152" s="108"/>
      <c r="BC152" s="724"/>
      <c r="BD152" s="724"/>
      <c r="BE152" s="724"/>
      <c r="BF152" s="634"/>
      <c r="BG152" s="108"/>
      <c r="BH152" s="725"/>
      <c r="BI152" s="725"/>
      <c r="BJ152" s="725"/>
      <c r="BK152" s="725"/>
      <c r="BL152" s="634"/>
      <c r="BM152" s="724"/>
      <c r="BN152" s="475"/>
      <c r="BO152" s="475"/>
      <c r="BP152" s="10"/>
      <c r="BY152" s="14">
        <v>9.9860000000000007</v>
      </c>
    </row>
    <row r="153" spans="1:77" ht="15" customHeight="1" x14ac:dyDescent="0.15">
      <c r="A153" s="782" t="str">
        <f>'r-in'!A107</f>
        <v>034_U</v>
      </c>
      <c r="B153" s="258" t="s">
        <v>919</v>
      </c>
      <c r="C153" s="162">
        <f>'r-in'!P107</f>
        <v>-217.69861841542658</v>
      </c>
      <c r="D153" s="162">
        <f>'r-in'!Q107</f>
        <v>-75.352071865803012</v>
      </c>
      <c r="E153" s="81">
        <f>'r-in'!R107</f>
        <v>108847.28253573721</v>
      </c>
      <c r="F153" s="162">
        <f>'r-in'!S107</f>
        <v>0.77451343747983692</v>
      </c>
      <c r="G153" s="81">
        <f>'r-in'!T107</f>
        <v>-14.312406677754677</v>
      </c>
      <c r="H153" s="162">
        <f>'r-in'!U107</f>
        <v>-947.15386169139742</v>
      </c>
      <c r="I153" s="81">
        <f>'r-in'!V107</f>
        <v>-124.68623751275412</v>
      </c>
      <c r="J153" s="162">
        <f>'r-in'!W107</f>
        <v>-94.409507900371537</v>
      </c>
      <c r="K153" s="81">
        <f>'r-in'!X107</f>
        <v>412182.01409367769</v>
      </c>
      <c r="L153" s="162">
        <f>'r-in'!Y107</f>
        <v>0.90366338170247262</v>
      </c>
      <c r="M153" s="81">
        <f>'r-in'!Z107</f>
        <v>195.25547588830784</v>
      </c>
      <c r="N153" s="162">
        <f>'r-in'!AA107</f>
        <v>93.250718883362509</v>
      </c>
      <c r="O153" s="81">
        <f>'r-in'!AB107</f>
        <v>71634.323508308938</v>
      </c>
      <c r="P153" s="162">
        <f>'r-in'!AC107</f>
        <v>1.1746688231185052</v>
      </c>
      <c r="Q153" s="81">
        <f>'r-in'!AD107</f>
        <v>330512.81054263818</v>
      </c>
      <c r="R153" s="162">
        <f>'r-in'!AE107</f>
        <v>1.1413758641580816</v>
      </c>
      <c r="S153" s="157">
        <f>'r-in'!AF107</f>
        <v>4.6145582872249875</v>
      </c>
      <c r="T153" s="157">
        <f>'r-in'!AG107</f>
        <v>0.23001993276977176</v>
      </c>
      <c r="U153" s="157">
        <f>'r-in'!AH107</f>
        <v>4.6170657761821943</v>
      </c>
      <c r="V153" s="157">
        <f>'r-in'!AI107</f>
        <v>0.29161275666720077</v>
      </c>
      <c r="W153" s="158">
        <v>34</v>
      </c>
      <c r="X153" s="764">
        <f t="shared" si="93"/>
        <v>0.88020118935150349</v>
      </c>
      <c r="Y153" s="387">
        <f t="shared" si="101"/>
        <v>4.06394678750969</v>
      </c>
      <c r="Z153" s="640">
        <f t="shared" si="102"/>
        <v>0.23001993276977176</v>
      </c>
      <c r="AA153" s="473">
        <f t="shared" si="104"/>
        <v>2.329951291081489</v>
      </c>
      <c r="AB153" s="478">
        <f t="shared" si="105"/>
        <v>2.3055586800910799</v>
      </c>
      <c r="AC153" s="108">
        <v>1</v>
      </c>
      <c r="AD153" s="159">
        <f t="shared" si="96"/>
        <v>7.1336235325154998E-2</v>
      </c>
      <c r="AE153" s="160">
        <v>285</v>
      </c>
      <c r="AF153" s="160">
        <v>14</v>
      </c>
      <c r="AG153" s="160">
        <v>2.1</v>
      </c>
      <c r="AH153" s="303">
        <f t="shared" si="103"/>
        <v>9.2386169182861758E-2</v>
      </c>
      <c r="AI153" s="86">
        <f t="shared" si="106"/>
        <v>1692.7198022948237</v>
      </c>
      <c r="AJ153" s="86"/>
      <c r="AK153" s="86"/>
      <c r="AL153" s="86"/>
      <c r="AM153" s="86"/>
      <c r="AN153" s="536"/>
      <c r="AP153" s="53"/>
      <c r="AQ153" s="108"/>
      <c r="AR153" s="110"/>
      <c r="AS153" s="724"/>
      <c r="AT153" s="750"/>
      <c r="AU153" s="750"/>
      <c r="AV153" s="751"/>
      <c r="AW153" s="108"/>
      <c r="AX153" s="724"/>
      <c r="AY153" s="53"/>
      <c r="AZ153" s="108"/>
      <c r="BA153" s="771"/>
      <c r="BB153" s="108"/>
      <c r="BC153" s="724"/>
      <c r="BD153" s="724"/>
      <c r="BE153" s="724"/>
      <c r="BF153" s="634"/>
      <c r="BG153" s="108"/>
      <c r="BH153" s="725"/>
      <c r="BI153" s="725"/>
      <c r="BJ153" s="725"/>
      <c r="BK153" s="725"/>
      <c r="BL153" s="725"/>
      <c r="BM153" s="725"/>
      <c r="BN153" s="475"/>
      <c r="BO153" s="475"/>
      <c r="BP153" s="475"/>
      <c r="BY153" s="14">
        <v>9.9860000000000007</v>
      </c>
    </row>
    <row r="154" spans="1:77" ht="15" customHeight="1" x14ac:dyDescent="0.15">
      <c r="A154" s="782" t="str">
        <f>'r-in'!A108</f>
        <v>035_U</v>
      </c>
      <c r="B154" s="258" t="s">
        <v>919</v>
      </c>
      <c r="C154" s="162">
        <f>'r-in'!P108</f>
        <v>-76.644651210255816</v>
      </c>
      <c r="D154" s="162">
        <f>'r-in'!Q108</f>
        <v>-219.49753566706764</v>
      </c>
      <c r="E154" s="81">
        <f>'r-in'!R108</f>
        <v>116684.1721888483</v>
      </c>
      <c r="F154" s="162">
        <f>'r-in'!S108</f>
        <v>0.7745955542100339</v>
      </c>
      <c r="G154" s="81">
        <f>'r-in'!T108</f>
        <v>50.200958785119013</v>
      </c>
      <c r="H154" s="162">
        <f>'r-in'!U108</f>
        <v>360.5168479904832</v>
      </c>
      <c r="I154" s="81">
        <f>'r-in'!V108</f>
        <v>-18.635742484727192</v>
      </c>
      <c r="J154" s="162">
        <f>'r-in'!W108</f>
        <v>-693.69518695143461</v>
      </c>
      <c r="K154" s="81">
        <f>'r-in'!X108</f>
        <v>449015.70122142549</v>
      </c>
      <c r="L154" s="162">
        <f>'r-in'!Y108</f>
        <v>0.90327267909237241</v>
      </c>
      <c r="M154" s="81">
        <f>'r-in'!Z108</f>
        <v>847.87788253024382</v>
      </c>
      <c r="N154" s="162">
        <f>'r-in'!AA108</f>
        <v>25.974176061332603</v>
      </c>
      <c r="O154" s="81">
        <f>'r-in'!AB108</f>
        <v>79427.828195324895</v>
      </c>
      <c r="P154" s="162">
        <f>'r-in'!AC108</f>
        <v>1.1594244070268593</v>
      </c>
      <c r="Q154" s="81">
        <f>'r-in'!AD108</f>
        <v>366661.3918271545</v>
      </c>
      <c r="R154" s="162">
        <f>'r-in'!AE108</f>
        <v>1.1093266490753473</v>
      </c>
      <c r="S154" s="157">
        <f>'r-in'!AF108</f>
        <v>4.6059740777911147</v>
      </c>
      <c r="T154" s="157">
        <f>'r-in'!AG108</f>
        <v>0.17894085655164196</v>
      </c>
      <c r="U154" s="157">
        <f>'r-in'!AH108</f>
        <v>4.6193345959851264</v>
      </c>
      <c r="V154" s="157">
        <f>'r-in'!AI108</f>
        <v>0.21566846433196324</v>
      </c>
      <c r="W154" s="158">
        <v>35</v>
      </c>
      <c r="X154" s="764">
        <f t="shared" si="93"/>
        <v>0.88019257730358513</v>
      </c>
      <c r="Y154" s="387">
        <f t="shared" si="101"/>
        <v>4.0659040234677635</v>
      </c>
      <c r="Z154" s="640">
        <f t="shared" si="102"/>
        <v>0.17894085655164196</v>
      </c>
      <c r="AA154" s="473">
        <f t="shared" si="104"/>
        <v>2.8126830602450692</v>
      </c>
      <c r="AB154" s="478">
        <f t="shared" si="105"/>
        <v>1.7944416046764555</v>
      </c>
      <c r="AC154" s="108">
        <v>1</v>
      </c>
      <c r="AD154" s="159">
        <f t="shared" si="96"/>
        <v>7.1336235325154998E-2</v>
      </c>
      <c r="AE154" s="160">
        <v>285</v>
      </c>
      <c r="AF154" s="160">
        <v>14</v>
      </c>
      <c r="AG154" s="160">
        <v>2.1</v>
      </c>
      <c r="AH154" s="303">
        <f t="shared" si="103"/>
        <v>0.10270074834508731</v>
      </c>
      <c r="AI154" s="86">
        <f t="shared" si="106"/>
        <v>432.4459917894788</v>
      </c>
      <c r="AJ154" s="86"/>
      <c r="AK154" s="86"/>
      <c r="AL154" s="775"/>
      <c r="AM154" s="775"/>
      <c r="AN154" s="536"/>
      <c r="AP154" s="53"/>
      <c r="AQ154" s="108"/>
      <c r="AR154" s="108"/>
      <c r="AS154" s="724"/>
      <c r="AT154" s="724"/>
      <c r="AU154" s="724"/>
      <c r="AV154" s="634"/>
      <c r="AW154" s="108"/>
      <c r="AX154" s="725"/>
      <c r="AY154" s="53"/>
      <c r="AZ154" s="108"/>
      <c r="BA154" s="771"/>
      <c r="BB154" s="108"/>
      <c r="BC154" s="724"/>
      <c r="BD154" s="724"/>
      <c r="BE154" s="724"/>
      <c r="BF154" s="634"/>
      <c r="BG154" s="108"/>
      <c r="BH154" s="725"/>
      <c r="BI154" s="725"/>
      <c r="BJ154" s="725"/>
      <c r="BK154" s="725"/>
      <c r="BL154" s="634"/>
      <c r="BM154" s="724"/>
      <c r="BN154" s="475"/>
      <c r="BO154" s="475"/>
      <c r="BP154" s="10"/>
      <c r="BY154" s="14">
        <v>9.9860000000000007</v>
      </c>
    </row>
    <row r="155" spans="1:77" ht="15" customHeight="1" x14ac:dyDescent="0.15">
      <c r="A155" s="782" t="str">
        <f>'r-in'!A109</f>
        <v>036_U</v>
      </c>
      <c r="B155" s="258" t="s">
        <v>919</v>
      </c>
      <c r="C155" s="162">
        <f>'r-in'!P109</f>
        <v>-368.28266479062921</v>
      </c>
      <c r="D155" s="162">
        <f>'r-in'!Q109</f>
        <v>-44.908123263489969</v>
      </c>
      <c r="E155" s="81">
        <f>'r-in'!R109</f>
        <v>120614.52931707341</v>
      </c>
      <c r="F155" s="162">
        <f>'r-in'!S109</f>
        <v>0.84075290689815474</v>
      </c>
      <c r="G155" s="81">
        <f>'r-in'!T109</f>
        <v>-170.15177374910749</v>
      </c>
      <c r="H155" s="162">
        <f>'r-in'!U109</f>
        <v>-90.259859502170315</v>
      </c>
      <c r="I155" s="81">
        <f>'r-in'!V109</f>
        <v>-277.67364194345009</v>
      </c>
      <c r="J155" s="162">
        <f>'r-in'!W109</f>
        <v>-40.952366949444468</v>
      </c>
      <c r="K155" s="81">
        <f>'r-in'!X109</f>
        <v>466355.16552191379</v>
      </c>
      <c r="L155" s="162">
        <f>'r-in'!Y109</f>
        <v>0.9692077718366845</v>
      </c>
      <c r="M155" s="81">
        <f>'r-in'!Z109</f>
        <v>155.85540931751817</v>
      </c>
      <c r="N155" s="162">
        <f>'r-in'!AA109</f>
        <v>144.90780610719003</v>
      </c>
      <c r="O155" s="81">
        <f>'r-in'!AB109</f>
        <v>83820.596108298414</v>
      </c>
      <c r="P155" s="162">
        <f>'r-in'!AC109</f>
        <v>1.2129771126955855</v>
      </c>
      <c r="Q155" s="81">
        <f>'r-in'!AD109</f>
        <v>384701.63634138001</v>
      </c>
      <c r="R155" s="162">
        <f>'r-in'!AE109</f>
        <v>1.1875822925389101</v>
      </c>
      <c r="S155" s="157">
        <f>'r-in'!AF109</f>
        <v>4.608412150051997</v>
      </c>
      <c r="T155" s="157">
        <f>'r-in'!AG109</f>
        <v>0.2419147417352229</v>
      </c>
      <c r="U155" s="157">
        <f>'r-in'!AH109</f>
        <v>4.5917307111902037</v>
      </c>
      <c r="V155" s="157">
        <f>'r-in'!AI109</f>
        <v>0.24868464547629543</v>
      </c>
      <c r="W155" s="158">
        <v>36</v>
      </c>
      <c r="X155" s="764">
        <f t="shared" si="93"/>
        <v>0.88018488700128295</v>
      </c>
      <c r="Y155" s="387">
        <f t="shared" si="101"/>
        <v>4.0415719771692702</v>
      </c>
      <c r="Z155" s="640">
        <f t="shared" si="102"/>
        <v>0.2419147417352229</v>
      </c>
      <c r="AA155" s="473">
        <f t="shared" si="104"/>
        <v>-3.188561556475511</v>
      </c>
      <c r="AB155" s="478">
        <f t="shared" si="105"/>
        <v>2.41143381689779</v>
      </c>
      <c r="AC155" s="108">
        <v>1</v>
      </c>
      <c r="AD155" s="159">
        <f t="shared" si="96"/>
        <v>7.1336235325154998E-2</v>
      </c>
      <c r="AE155" s="160">
        <v>285</v>
      </c>
      <c r="AF155" s="160">
        <v>14</v>
      </c>
      <c r="AG155" s="160">
        <v>2.1</v>
      </c>
      <c r="AH155" s="303">
        <f t="shared" si="103"/>
        <v>0.10797278230860911</v>
      </c>
      <c r="AI155" s="86">
        <f t="shared" si="106"/>
        <v>2468.3239293776601</v>
      </c>
      <c r="AJ155" s="86"/>
      <c r="AK155" s="86"/>
      <c r="AL155" s="86"/>
      <c r="AM155" s="86"/>
      <c r="AN155" s="536"/>
      <c r="AP155" s="53"/>
      <c r="AQ155" s="108"/>
      <c r="AR155" s="110"/>
      <c r="AS155" s="724"/>
      <c r="AT155" s="750"/>
      <c r="AU155" s="750"/>
      <c r="AV155" s="751"/>
      <c r="AW155" s="108"/>
      <c r="AX155" s="724"/>
      <c r="AY155" s="53"/>
      <c r="AZ155" s="108"/>
      <c r="BA155" s="771"/>
      <c r="BB155" s="108"/>
      <c r="BC155" s="724"/>
      <c r="BD155" s="724"/>
      <c r="BE155" s="724"/>
      <c r="BF155" s="634"/>
      <c r="BG155" s="108"/>
      <c r="BH155" s="725"/>
      <c r="BI155" s="725"/>
      <c r="BJ155" s="725"/>
      <c r="BK155" s="725"/>
      <c r="BL155" s="725"/>
      <c r="BM155" s="725"/>
      <c r="BN155" s="475"/>
      <c r="BO155" s="475"/>
      <c r="BP155" s="475"/>
      <c r="BY155" s="14">
        <v>9.9860000000000007</v>
      </c>
    </row>
    <row r="156" spans="1:77" ht="15" customHeight="1" x14ac:dyDescent="0.15">
      <c r="A156" s="782" t="str">
        <f>'r-in'!A110</f>
        <v>037_U</v>
      </c>
      <c r="B156" s="258" t="s">
        <v>919</v>
      </c>
      <c r="C156" s="162">
        <f>'r-in'!P110</f>
        <v>5.9425149065605396</v>
      </c>
      <c r="D156" s="162">
        <f>'r-in'!Q110</f>
        <v>2568.0456619367692</v>
      </c>
      <c r="E156" s="81">
        <f>'r-in'!R110</f>
        <v>115219.39363417991</v>
      </c>
      <c r="F156" s="162">
        <f>'r-in'!S110</f>
        <v>0.74736463032791367</v>
      </c>
      <c r="G156" s="81">
        <f>'r-in'!T110</f>
        <v>-270.13112185443907</v>
      </c>
      <c r="H156" s="162">
        <f>'r-in'!U110</f>
        <v>-69.920796755872445</v>
      </c>
      <c r="I156" s="81">
        <f>'r-in'!V110</f>
        <v>-120.31120721261648</v>
      </c>
      <c r="J156" s="162">
        <f>'r-in'!W110</f>
        <v>-99.638501802061143</v>
      </c>
      <c r="K156" s="81">
        <f>'r-in'!X110</f>
        <v>440128.98833151092</v>
      </c>
      <c r="L156" s="162">
        <f>'r-in'!Y110</f>
        <v>0.87859470051874577</v>
      </c>
      <c r="M156" s="81">
        <f>'r-in'!Z110</f>
        <v>699.71531657649928</v>
      </c>
      <c r="N156" s="162">
        <f>'r-in'!AA110</f>
        <v>32.667272784450326</v>
      </c>
      <c r="O156" s="81">
        <f>'r-in'!AB110</f>
        <v>78199.717161277542</v>
      </c>
      <c r="P156" s="162">
        <f>'r-in'!AC110</f>
        <v>1.0912071533904897</v>
      </c>
      <c r="Q156" s="81">
        <f>'r-in'!AD110</f>
        <v>358189.49381437979</v>
      </c>
      <c r="R156" s="162">
        <f>'r-in'!AE110</f>
        <v>1.0828249560612944</v>
      </c>
      <c r="S156" s="157">
        <f>'r-in'!AF110</f>
        <v>4.5898071171698192</v>
      </c>
      <c r="T156" s="157">
        <f>'r-in'!AG110</f>
        <v>0.21175989862617148</v>
      </c>
      <c r="U156" s="157">
        <f>'r-in'!AH110</f>
        <v>4.5816835996270369</v>
      </c>
      <c r="V156" s="157">
        <f>'r-in'!AI110</f>
        <v>0.22354116949005795</v>
      </c>
      <c r="W156" s="158">
        <v>37</v>
      </c>
      <c r="X156" s="764">
        <f t="shared" si="93"/>
        <v>0.88017810224075488</v>
      </c>
      <c r="Y156" s="387">
        <f t="shared" si="101"/>
        <v>4.0326975757873162</v>
      </c>
      <c r="Z156" s="640">
        <f t="shared" si="102"/>
        <v>0.21175989862617148</v>
      </c>
      <c r="AA156" s="473">
        <f t="shared" si="104"/>
        <v>-5.3773397984174798</v>
      </c>
      <c r="AB156" s="478">
        <f t="shared" si="105"/>
        <v>2.1062119369558152</v>
      </c>
      <c r="AC156" s="108">
        <v>1</v>
      </c>
      <c r="AD156" s="159">
        <f t="shared" si="96"/>
        <v>7.1336235325154998E-2</v>
      </c>
      <c r="AE156" s="160">
        <v>285</v>
      </c>
      <c r="AF156" s="160">
        <v>14</v>
      </c>
      <c r="AG156" s="160">
        <v>2.1</v>
      </c>
      <c r="AH156" s="303">
        <f t="shared" si="103"/>
        <v>0.1007342185855061</v>
      </c>
      <c r="AI156" s="86">
        <f t="shared" si="106"/>
        <v>511.90746483426341</v>
      </c>
      <c r="AJ156" s="86"/>
      <c r="AK156" s="86"/>
      <c r="AL156" s="775"/>
      <c r="AM156" s="775"/>
      <c r="AN156" s="536"/>
      <c r="AP156" s="53"/>
      <c r="AQ156" s="108"/>
      <c r="AR156" s="108"/>
      <c r="AS156" s="724"/>
      <c r="AT156" s="724"/>
      <c r="AU156" s="724"/>
      <c r="AV156" s="634"/>
      <c r="AW156" s="108"/>
      <c r="AX156" s="725"/>
      <c r="AY156" s="53"/>
      <c r="AZ156" s="108"/>
      <c r="BA156" s="771"/>
      <c r="BB156" s="108"/>
      <c r="BC156" s="724"/>
      <c r="BD156" s="724"/>
      <c r="BE156" s="724"/>
      <c r="BF156" s="634"/>
      <c r="BG156" s="108"/>
      <c r="BH156" s="725"/>
      <c r="BI156" s="725"/>
      <c r="BJ156" s="725"/>
      <c r="BK156" s="725"/>
      <c r="BL156" s="634"/>
      <c r="BM156" s="724"/>
      <c r="BN156" s="475"/>
      <c r="BO156" s="475"/>
      <c r="BP156" s="10"/>
      <c r="BY156" s="14">
        <v>9.9860000000000007</v>
      </c>
    </row>
    <row r="157" spans="1:77" ht="15" customHeight="1" x14ac:dyDescent="0.15">
      <c r="A157" s="782" t="str">
        <f>'r-in'!A111</f>
        <v>038_U</v>
      </c>
      <c r="B157" s="258" t="s">
        <v>919</v>
      </c>
      <c r="C157" s="162">
        <f>'r-in'!P111</f>
        <v>-341.13625789899635</v>
      </c>
      <c r="D157" s="162">
        <f>'r-in'!Q111</f>
        <v>-55.72454981508961</v>
      </c>
      <c r="E157" s="81">
        <f>'r-in'!R111</f>
        <v>112486.51195070907</v>
      </c>
      <c r="F157" s="162">
        <f>'r-in'!S111</f>
        <v>1.2172049628180666</v>
      </c>
      <c r="G157" s="81">
        <f>'r-in'!T111</f>
        <v>-241.87190812744367</v>
      </c>
      <c r="H157" s="162">
        <f>'r-in'!U111</f>
        <v>-67.662666609295258</v>
      </c>
      <c r="I157" s="81">
        <f>'r-in'!V111</f>
        <v>-295.74078378044464</v>
      </c>
      <c r="J157" s="162">
        <f>'r-in'!W111</f>
        <v>-41.604126588687109</v>
      </c>
      <c r="K157" s="81">
        <f>'r-in'!X111</f>
        <v>429743.25158281834</v>
      </c>
      <c r="L157" s="162">
        <f>'r-in'!Y111</f>
        <v>1.4853892941692721</v>
      </c>
      <c r="M157" s="81">
        <f>'r-in'!Z111</f>
        <v>-205.38883995602683</v>
      </c>
      <c r="N157" s="162">
        <f>'r-in'!AA111</f>
        <v>-101.50627061831372</v>
      </c>
      <c r="O157" s="81">
        <f>'r-in'!AB111</f>
        <v>75475.273188773572</v>
      </c>
      <c r="P157" s="162">
        <f>'r-in'!AC111</f>
        <v>1.8071769484643654</v>
      </c>
      <c r="Q157" s="81">
        <f>'r-in'!AD111</f>
        <v>348432.68617808708</v>
      </c>
      <c r="R157" s="162">
        <f>'r-in'!AE111</f>
        <v>1.8377720447949146</v>
      </c>
      <c r="S157" s="157">
        <f>'r-in'!AF111</f>
        <v>4.6265725013820287</v>
      </c>
      <c r="T157" s="157">
        <f>'r-in'!AG111</f>
        <v>0.21822572687727829</v>
      </c>
      <c r="U157" s="157">
        <f>'r-in'!AH111</f>
        <v>4.6157442372137334</v>
      </c>
      <c r="V157" s="157">
        <f>'r-in'!AI111</f>
        <v>0.23560893789361156</v>
      </c>
      <c r="W157" s="158">
        <v>38</v>
      </c>
      <c r="X157" s="764">
        <f t="shared" si="93"/>
        <v>0.88017220694196174</v>
      </c>
      <c r="Y157" s="387">
        <f t="shared" si="101"/>
        <v>4.0626497919480533</v>
      </c>
      <c r="Z157" s="640">
        <f t="shared" si="102"/>
        <v>0.21822572687727829</v>
      </c>
      <c r="AA157" s="473">
        <f t="shared" si="104"/>
        <v>2.0100609071533881</v>
      </c>
      <c r="AB157" s="478">
        <f t="shared" si="105"/>
        <v>2.1866437387981774</v>
      </c>
      <c r="AC157" s="108">
        <v>1</v>
      </c>
      <c r="AD157" s="159">
        <f t="shared" si="96"/>
        <v>7.1336235325154998E-2</v>
      </c>
      <c r="AE157" s="160">
        <v>285</v>
      </c>
      <c r="AF157" s="160">
        <v>14</v>
      </c>
      <c r="AG157" s="160">
        <v>2.1</v>
      </c>
      <c r="AH157" s="303">
        <f t="shared" si="103"/>
        <v>9.8185891938234321E-2</v>
      </c>
      <c r="AI157" s="86">
        <f t="shared" si="106"/>
        <v>-1696.4538397153688</v>
      </c>
      <c r="AJ157" s="86"/>
      <c r="AK157" s="86"/>
      <c r="AL157" s="86"/>
      <c r="AM157" s="86"/>
      <c r="AN157" s="536"/>
      <c r="AP157" s="53"/>
      <c r="AQ157" s="108"/>
      <c r="AR157" s="110"/>
      <c r="AS157" s="724"/>
      <c r="AT157" s="750"/>
      <c r="AU157" s="750"/>
      <c r="AV157" s="751"/>
      <c r="AW157" s="108"/>
      <c r="AX157" s="724"/>
      <c r="AY157" s="53"/>
      <c r="AZ157" s="108"/>
      <c r="BA157" s="771"/>
      <c r="BB157" s="108"/>
      <c r="BC157" s="724"/>
      <c r="BD157" s="724"/>
      <c r="BE157" s="724"/>
      <c r="BF157" s="634"/>
      <c r="BG157" s="108"/>
      <c r="BH157" s="725"/>
      <c r="BI157" s="725"/>
      <c r="BJ157" s="725"/>
      <c r="BK157" s="725"/>
      <c r="BL157" s="725"/>
      <c r="BM157" s="725"/>
      <c r="BN157" s="475"/>
      <c r="BO157" s="475"/>
      <c r="BP157" s="475"/>
      <c r="BY157" s="14">
        <v>9.9860000000000007</v>
      </c>
    </row>
    <row r="158" spans="1:77" s="437" customFormat="1" ht="15" customHeight="1" x14ac:dyDescent="0.2">
      <c r="A158" s="783" t="str">
        <f>'r-in'!A112</f>
        <v>039_U</v>
      </c>
      <c r="B158" s="707" t="s">
        <v>932</v>
      </c>
      <c r="C158" s="567">
        <f>'r-in'!P112</f>
        <v>1724.5927174642525</v>
      </c>
      <c r="D158" s="567">
        <f>'r-in'!Q112</f>
        <v>9.9077400178654571</v>
      </c>
      <c r="E158" s="568">
        <f>'r-in'!R112</f>
        <v>574735.59819376084</v>
      </c>
      <c r="F158" s="567">
        <f>'r-in'!S112</f>
        <v>2.7704956877374234</v>
      </c>
      <c r="G158" s="568">
        <f>'r-in'!T112</f>
        <v>1773.7718291009685</v>
      </c>
      <c r="H158" s="567">
        <f>'r-in'!U112</f>
        <v>10.356579015288668</v>
      </c>
      <c r="I158" s="568">
        <f>'r-in'!V112</f>
        <v>1747.0832600872161</v>
      </c>
      <c r="J158" s="567">
        <f>'r-in'!W112</f>
        <v>7.5666379422827648</v>
      </c>
      <c r="K158" s="568">
        <f>'r-in'!X112</f>
        <v>2556425.8255248656</v>
      </c>
      <c r="L158" s="567">
        <f>'r-in'!Y112</f>
        <v>2.8931752293971376</v>
      </c>
      <c r="M158" s="568">
        <f>'r-in'!Z112</f>
        <v>2482.0432603044201</v>
      </c>
      <c r="N158" s="567">
        <f>'r-in'!AA112</f>
        <v>8.6628023214822552</v>
      </c>
      <c r="O158" s="568">
        <f>'r-in'!AB112</f>
        <v>536494.55404350336</v>
      </c>
      <c r="P158" s="567">
        <f>'r-in'!AC112</f>
        <v>2.9697360838205142</v>
      </c>
      <c r="Q158" s="568">
        <f>'r-in'!AD112</f>
        <v>2474700.4956228677</v>
      </c>
      <c r="R158" s="567">
        <f>'r-in'!AE112</f>
        <v>2.9873159870381931</v>
      </c>
      <c r="S158" s="588">
        <f>'r-in'!AF112</f>
        <v>4.5941716230038212</v>
      </c>
      <c r="T158" s="588">
        <f>'r-in'!AG112</f>
        <v>3.315174280829343E-2</v>
      </c>
      <c r="U158" s="588">
        <f>'r-in'!AH112</f>
        <v>4.6116625943847565</v>
      </c>
      <c r="V158" s="588">
        <f>'r-in'!AI112</f>
        <v>4.2341499456633416E-2</v>
      </c>
      <c r="W158" s="569">
        <v>39</v>
      </c>
      <c r="X158" s="776">
        <f t="shared" si="93"/>
        <v>0.88016718514833303</v>
      </c>
      <c r="Y158" s="610">
        <f t="shared" si="101"/>
        <v>4.05903408455349</v>
      </c>
      <c r="Z158" s="639">
        <f t="shared" si="102"/>
        <v>3.315174280829343E-2</v>
      </c>
      <c r="AA158" s="666">
        <f t="shared" si="104"/>
        <v>1.1182845118979934</v>
      </c>
      <c r="AB158" s="667">
        <f t="shared" si="105"/>
        <v>0.33188815888829382</v>
      </c>
      <c r="AC158" s="570">
        <v>1</v>
      </c>
      <c r="AD158" s="787">
        <f t="shared" si="96"/>
        <v>7.1336235325154998E-2</v>
      </c>
      <c r="AE158" s="571">
        <v>285</v>
      </c>
      <c r="AF158" s="571">
        <v>14</v>
      </c>
      <c r="AG158" s="571">
        <v>2.1</v>
      </c>
      <c r="AH158" s="572">
        <f t="shared" si="103"/>
        <v>0.69873257033717673</v>
      </c>
      <c r="AI158" s="742">
        <f t="shared" si="106"/>
        <v>997.04164516429432</v>
      </c>
      <c r="AJ158" s="742"/>
      <c r="AK158" s="742"/>
      <c r="AL158" s="788">
        <f>AGaverage(AA158:AA172)</f>
        <v>2.148839961881146</v>
      </c>
      <c r="AM158" s="788">
        <f>STDEV(AA158:AA172)/(COUNT(AA158:AA172)-1)^0.5</f>
        <v>0.53746946639425208</v>
      </c>
      <c r="AN158" s="573"/>
      <c r="AP158" s="240"/>
      <c r="AQ158" s="570"/>
      <c r="AR158" s="570"/>
      <c r="AS158" s="723"/>
      <c r="AT158" s="723"/>
      <c r="AU158" s="723"/>
      <c r="AV158" s="624"/>
      <c r="AW158" s="570"/>
      <c r="AX158" s="769"/>
      <c r="AY158" s="240"/>
      <c r="AZ158" s="570"/>
      <c r="BA158" s="770"/>
      <c r="BB158" s="570"/>
      <c r="BC158" s="723"/>
      <c r="BD158" s="723"/>
      <c r="BE158" s="723"/>
      <c r="BF158" s="624"/>
      <c r="BG158" s="570"/>
      <c r="BH158" s="769"/>
      <c r="BI158" s="769"/>
      <c r="BJ158" s="769"/>
      <c r="BK158" s="769"/>
      <c r="BL158" s="624"/>
      <c r="BM158" s="723"/>
      <c r="BN158" s="574"/>
      <c r="BO158" s="574"/>
      <c r="BP158" s="576"/>
      <c r="BY158" s="437">
        <v>9.9860000000000007</v>
      </c>
    </row>
    <row r="159" spans="1:77" ht="15" customHeight="1" x14ac:dyDescent="0.2">
      <c r="A159" s="782" t="str">
        <f>'r-in'!A113</f>
        <v>040_U</v>
      </c>
      <c r="B159" s="707" t="s">
        <v>932</v>
      </c>
      <c r="C159" s="162">
        <f>'r-in'!P113</f>
        <v>1504.8557346917639</v>
      </c>
      <c r="D159" s="162">
        <f>'r-in'!Q113</f>
        <v>12.773177776071401</v>
      </c>
      <c r="E159" s="81">
        <f>'r-in'!R113</f>
        <v>579706.97337316722</v>
      </c>
      <c r="F159" s="162">
        <f>'r-in'!S113</f>
        <v>3.7146476437115621</v>
      </c>
      <c r="G159" s="81">
        <f>'r-in'!T113</f>
        <v>1383.2913241680192</v>
      </c>
      <c r="H159" s="162">
        <f>'r-in'!U113</f>
        <v>13.83385316242877</v>
      </c>
      <c r="I159" s="81">
        <f>'r-in'!V113</f>
        <v>1449.2620188776996</v>
      </c>
      <c r="J159" s="162">
        <f>'r-in'!W113</f>
        <v>9.9426949066890487</v>
      </c>
      <c r="K159" s="81">
        <f>'r-in'!X113</f>
        <v>2577935.7538787508</v>
      </c>
      <c r="L159" s="162">
        <f>'r-in'!Y113</f>
        <v>3.8755035233312651</v>
      </c>
      <c r="M159" s="81">
        <f>'r-in'!Z113</f>
        <v>2763.841682308961</v>
      </c>
      <c r="N159" s="162">
        <f>'r-in'!AA113</f>
        <v>9.507169925662275</v>
      </c>
      <c r="O159" s="81">
        <f>'r-in'!AB113</f>
        <v>541844.23748080479</v>
      </c>
      <c r="P159" s="162">
        <f>'r-in'!AC113</f>
        <v>3.9763245841005141</v>
      </c>
      <c r="Q159" s="81">
        <f>'r-in'!AD113</f>
        <v>2498159.6616538898</v>
      </c>
      <c r="R159" s="162">
        <f>'r-in'!AE113</f>
        <v>3.9990690876247998</v>
      </c>
      <c r="S159" s="157">
        <f>'r-in'!AF113</f>
        <v>4.592717044094905</v>
      </c>
      <c r="T159" s="157">
        <f>'r-in'!AG113</f>
        <v>3.6091789989312777E-2</v>
      </c>
      <c r="U159" s="157">
        <f>'r-in'!AH113</f>
        <v>4.6087324750355041</v>
      </c>
      <c r="V159" s="157">
        <f>'r-in'!AI113</f>
        <v>3.5500458552858279E-2</v>
      </c>
      <c r="W159" s="158">
        <v>40</v>
      </c>
      <c r="X159" s="764">
        <f t="shared" si="93"/>
        <v>0.88016302102643784</v>
      </c>
      <c r="Y159" s="387">
        <f t="shared" si="101"/>
        <v>4.0564358983299016</v>
      </c>
      <c r="Z159" s="640">
        <f t="shared" si="102"/>
        <v>3.6091789989312777E-2</v>
      </c>
      <c r="AA159" s="473">
        <f t="shared" si="104"/>
        <v>0.4774690664450798</v>
      </c>
      <c r="AB159" s="478">
        <f t="shared" si="105"/>
        <v>0.36109022702590643</v>
      </c>
      <c r="AC159" s="108">
        <v>1</v>
      </c>
      <c r="AD159" s="159">
        <f t="shared" si="96"/>
        <v>7.1336235325154998E-2</v>
      </c>
      <c r="AE159" s="160">
        <v>285</v>
      </c>
      <c r="AF159" s="160">
        <v>14</v>
      </c>
      <c r="AG159" s="160">
        <v>2.1</v>
      </c>
      <c r="AH159" s="303">
        <f t="shared" si="103"/>
        <v>0.70673860241809328</v>
      </c>
      <c r="AI159" s="86">
        <f t="shared" si="106"/>
        <v>903.87219993255337</v>
      </c>
      <c r="AJ159" s="86"/>
      <c r="AK159" s="86"/>
      <c r="AL159" s="86"/>
      <c r="AM159" s="86"/>
      <c r="AN159" s="536"/>
      <c r="AP159" s="53"/>
      <c r="AQ159" s="108"/>
      <c r="AR159" s="110"/>
      <c r="AS159" s="724"/>
      <c r="AT159" s="750"/>
      <c r="AU159" s="750"/>
      <c r="AV159" s="751"/>
      <c r="AW159" s="108"/>
      <c r="AX159" s="724"/>
      <c r="AY159" s="53"/>
      <c r="AZ159" s="108"/>
      <c r="BA159" s="771"/>
      <c r="BB159" s="108"/>
      <c r="BC159" s="724"/>
      <c r="BD159" s="724"/>
      <c r="BE159" s="724"/>
      <c r="BF159" s="634"/>
      <c r="BG159" s="108"/>
      <c r="BH159" s="725"/>
      <c r="BI159" s="725"/>
      <c r="BJ159" s="725"/>
      <c r="BK159" s="725"/>
      <c r="BL159" s="725"/>
      <c r="BM159" s="725"/>
      <c r="BN159" s="475"/>
      <c r="BO159" s="475"/>
      <c r="BP159" s="475"/>
      <c r="BY159" s="14">
        <v>9.9860000000000007</v>
      </c>
    </row>
    <row r="160" spans="1:77" ht="15" customHeight="1" x14ac:dyDescent="0.2">
      <c r="A160" s="782" t="str">
        <f>'r-in'!A114</f>
        <v>041_U</v>
      </c>
      <c r="B160" s="707" t="s">
        <v>932</v>
      </c>
      <c r="C160" s="162">
        <f>'r-in'!P114</f>
        <v>1248.758930090512</v>
      </c>
      <c r="D160" s="162">
        <f>'r-in'!Q114</f>
        <v>13.471754573825486</v>
      </c>
      <c r="E160" s="81">
        <f>'r-in'!R114</f>
        <v>542200.23204673245</v>
      </c>
      <c r="F160" s="162">
        <f>'r-in'!S114</f>
        <v>4.6234986290622109</v>
      </c>
      <c r="G160" s="81">
        <f>'r-in'!T114</f>
        <v>1348.3866753902589</v>
      </c>
      <c r="H160" s="162">
        <f>'r-in'!U114</f>
        <v>15.619050377941022</v>
      </c>
      <c r="I160" s="81">
        <f>'r-in'!V114</f>
        <v>1294.3205918920828</v>
      </c>
      <c r="J160" s="162">
        <f>'r-in'!W114</f>
        <v>9.8415240994202531</v>
      </c>
      <c r="K160" s="81">
        <f>'r-in'!X114</f>
        <v>2407263.0916290944</v>
      </c>
      <c r="L160" s="162">
        <f>'r-in'!Y114</f>
        <v>4.8614208579263822</v>
      </c>
      <c r="M160" s="81">
        <f>'r-in'!Z114</f>
        <v>2209.3233426860897</v>
      </c>
      <c r="N160" s="162">
        <f>'r-in'!AA114</f>
        <v>11.014451455505945</v>
      </c>
      <c r="O160" s="81">
        <f>'r-in'!AB114</f>
        <v>504747.79205649853</v>
      </c>
      <c r="P160" s="162">
        <f>'r-in'!AC114</f>
        <v>4.9678977485726383</v>
      </c>
      <c r="Q160" s="81">
        <f>'r-in'!AD114</f>
        <v>2328657.1130226343</v>
      </c>
      <c r="R160" s="162">
        <f>'r-in'!AE114</f>
        <v>5.0227816492741004</v>
      </c>
      <c r="S160" s="157">
        <f>'r-in'!AF114</f>
        <v>4.5931988214356938</v>
      </c>
      <c r="T160" s="157">
        <f>'r-in'!AG114</f>
        <v>5.4277380070183866E-2</v>
      </c>
      <c r="U160" s="157">
        <f>'r-in'!AH114</f>
        <v>4.6084903973625062</v>
      </c>
      <c r="V160" s="157">
        <f>'r-in'!AI114</f>
        <v>5.3432533098752552E-2</v>
      </c>
      <c r="W160" s="158">
        <v>41</v>
      </c>
      <c r="X160" s="764">
        <f t="shared" si="93"/>
        <v>0.88015969886566847</v>
      </c>
      <c r="Y160" s="387">
        <f t="shared" si="101"/>
        <v>4.0562075203679084</v>
      </c>
      <c r="Z160" s="640">
        <f t="shared" si="102"/>
        <v>5.4277380070183866E-2</v>
      </c>
      <c r="AA160" s="473">
        <f t="shared" si="104"/>
        <v>0.42114203179388632</v>
      </c>
      <c r="AB160" s="478">
        <f t="shared" si="105"/>
        <v>0.54300238556304059</v>
      </c>
      <c r="AC160" s="108">
        <v>1</v>
      </c>
      <c r="AD160" s="159">
        <f t="shared" si="96"/>
        <v>7.1336235325154998E-2</v>
      </c>
      <c r="AE160" s="160">
        <v>285</v>
      </c>
      <c r="AF160" s="160">
        <v>14</v>
      </c>
      <c r="AG160" s="160">
        <v>2.1</v>
      </c>
      <c r="AH160" s="303">
        <f t="shared" si="103"/>
        <v>0.6600648449619777</v>
      </c>
      <c r="AI160" s="86">
        <f t="shared" si="106"/>
        <v>1054.013719056378</v>
      </c>
      <c r="AJ160" s="86"/>
      <c r="AK160" s="86"/>
      <c r="AL160" s="775"/>
      <c r="AM160" s="775"/>
      <c r="AN160" s="536"/>
      <c r="AP160" s="53"/>
      <c r="AQ160" s="108"/>
      <c r="AR160" s="108"/>
      <c r="AS160" s="724"/>
      <c r="AT160" s="724"/>
      <c r="AU160" s="724"/>
      <c r="AV160" s="634"/>
      <c r="AW160" s="108"/>
      <c r="AX160" s="725"/>
      <c r="AY160" s="53"/>
      <c r="AZ160" s="108"/>
      <c r="BA160" s="771"/>
      <c r="BB160" s="108"/>
      <c r="BC160" s="724"/>
      <c r="BD160" s="724"/>
      <c r="BE160" s="724"/>
      <c r="BF160" s="634"/>
      <c r="BG160" s="108"/>
      <c r="BH160" s="725"/>
      <c r="BI160" s="725"/>
      <c r="BJ160" s="725"/>
      <c r="BK160" s="725"/>
      <c r="BL160" s="634"/>
      <c r="BM160" s="724"/>
      <c r="BN160" s="475"/>
      <c r="BO160" s="475"/>
      <c r="BP160" s="10"/>
      <c r="BY160" s="14">
        <v>9.9860000000000007</v>
      </c>
    </row>
    <row r="161" spans="1:77" ht="15" customHeight="1" x14ac:dyDescent="0.2">
      <c r="A161" s="782" t="str">
        <f>'r-in'!A115</f>
        <v>042_U</v>
      </c>
      <c r="B161" s="707" t="s">
        <v>932</v>
      </c>
      <c r="C161" s="162">
        <f>'r-in'!P115</f>
        <v>1400.500770229381</v>
      </c>
      <c r="D161" s="162">
        <f>'r-in'!Q115</f>
        <v>12.549923230057722</v>
      </c>
      <c r="E161" s="81">
        <f>'r-in'!R115</f>
        <v>489551.81740780442</v>
      </c>
      <c r="F161" s="162">
        <f>'r-in'!S115</f>
        <v>5.7562460773222588</v>
      </c>
      <c r="G161" s="81">
        <f>'r-in'!T115</f>
        <v>1338.1550277862036</v>
      </c>
      <c r="H161" s="162">
        <f>'r-in'!U115</f>
        <v>12.813933542484367</v>
      </c>
      <c r="I161" s="81">
        <f>'r-in'!V115</f>
        <v>1371.9888770472407</v>
      </c>
      <c r="J161" s="162">
        <f>'r-in'!W115</f>
        <v>9.2474939694312752</v>
      </c>
      <c r="K161" s="81">
        <f>'r-in'!X115</f>
        <v>2166991.844344167</v>
      </c>
      <c r="L161" s="162">
        <f>'r-in'!Y115</f>
        <v>6.0746515883130705</v>
      </c>
      <c r="M161" s="81">
        <f>'r-in'!Z115</f>
        <v>1603.4809009953021</v>
      </c>
      <c r="N161" s="162">
        <f>'r-in'!AA115</f>
        <v>14.74785896412688</v>
      </c>
      <c r="O161" s="81">
        <f>'r-in'!AB115</f>
        <v>451962.32403474714</v>
      </c>
      <c r="P161" s="162">
        <f>'r-in'!AC115</f>
        <v>6.2392934461405565</v>
      </c>
      <c r="Q161" s="81">
        <f>'r-in'!AD115</f>
        <v>2089007.106585108</v>
      </c>
      <c r="R161" s="162">
        <f>'r-in'!AE115</f>
        <v>6.3015242430575826</v>
      </c>
      <c r="S161" s="157">
        <f>'r-in'!AF115</f>
        <v>4.5975404919018263</v>
      </c>
      <c r="T161" s="157">
        <f>'r-in'!AG115</f>
        <v>6.6574475632805996E-2</v>
      </c>
      <c r="U161" s="157">
        <f>'r-in'!AH115</f>
        <v>4.6147863440515851</v>
      </c>
      <c r="V161" s="157">
        <f>'r-in'!AI115</f>
        <v>6.9867819573715087E-2</v>
      </c>
      <c r="W161" s="158">
        <v>42</v>
      </c>
      <c r="X161" s="764">
        <f t="shared" si="93"/>
        <v>0.88015720307792999</v>
      </c>
      <c r="Y161" s="387">
        <f t="shared" si="101"/>
        <v>4.061737441382669</v>
      </c>
      <c r="Z161" s="640">
        <f t="shared" si="102"/>
        <v>6.6574475632805996E-2</v>
      </c>
      <c r="AA161" s="473">
        <f t="shared" si="104"/>
        <v>1.7850391867477722</v>
      </c>
      <c r="AB161" s="478">
        <f t="shared" si="105"/>
        <v>0.66693313680632471</v>
      </c>
      <c r="AC161" s="108">
        <v>1</v>
      </c>
      <c r="AD161" s="159">
        <f t="shared" si="96"/>
        <v>7.1336235325154998E-2</v>
      </c>
      <c r="AE161" s="160">
        <v>285</v>
      </c>
      <c r="AF161" s="160">
        <v>14</v>
      </c>
      <c r="AG161" s="160">
        <v>2.1</v>
      </c>
      <c r="AH161" s="303">
        <f t="shared" si="103"/>
        <v>0.59327437115606807</v>
      </c>
      <c r="AI161" s="86">
        <f t="shared" si="106"/>
        <v>1302.7951285783531</v>
      </c>
      <c r="AJ161" s="86"/>
      <c r="AK161" s="86"/>
      <c r="AL161" s="86"/>
      <c r="AM161" s="86"/>
      <c r="AN161" s="536"/>
      <c r="AP161" s="53"/>
      <c r="AQ161" s="108"/>
      <c r="AR161" s="110"/>
      <c r="AS161" s="724"/>
      <c r="AT161" s="750"/>
      <c r="AU161" s="750"/>
      <c r="AV161" s="751"/>
      <c r="AW161" s="108"/>
      <c r="AX161" s="724"/>
      <c r="AY161" s="53"/>
      <c r="AZ161" s="108"/>
      <c r="BA161" s="771"/>
      <c r="BB161" s="108"/>
      <c r="BC161" s="724"/>
      <c r="BD161" s="724"/>
      <c r="BE161" s="724"/>
      <c r="BF161" s="634"/>
      <c r="BG161" s="108"/>
      <c r="BH161" s="725"/>
      <c r="BI161" s="725"/>
      <c r="BJ161" s="725"/>
      <c r="BK161" s="725"/>
      <c r="BL161" s="725"/>
      <c r="BM161" s="725"/>
      <c r="BN161" s="475"/>
      <c r="BO161" s="475"/>
      <c r="BP161" s="475"/>
      <c r="BY161" s="14">
        <v>9.9860000000000007</v>
      </c>
    </row>
    <row r="162" spans="1:77" ht="15" customHeight="1" x14ac:dyDescent="0.2">
      <c r="A162" s="782" t="str">
        <f>'r-in'!A116</f>
        <v>043_U</v>
      </c>
      <c r="B162" s="707" t="s">
        <v>932</v>
      </c>
      <c r="C162" s="162">
        <f>'r-in'!P116</f>
        <v>1443.2483832539135</v>
      </c>
      <c r="D162" s="162">
        <f>'r-in'!Q116</f>
        <v>13.361692446614327</v>
      </c>
      <c r="E162" s="81">
        <f>'r-in'!R116</f>
        <v>666361.17589828954</v>
      </c>
      <c r="F162" s="162">
        <f>'r-in'!S116</f>
        <v>7.2522999939802704</v>
      </c>
      <c r="G162" s="81">
        <f>'r-in'!T116</f>
        <v>1229.9256901521851</v>
      </c>
      <c r="H162" s="162">
        <f>'r-in'!U116</f>
        <v>12.123667543762165</v>
      </c>
      <c r="I162" s="81">
        <f>'r-in'!V116</f>
        <v>1345.6918605356793</v>
      </c>
      <c r="J162" s="162">
        <f>'r-in'!W116</f>
        <v>9.5191789227826309</v>
      </c>
      <c r="K162" s="81">
        <f>'r-in'!X116</f>
        <v>2997133.3680809373</v>
      </c>
      <c r="L162" s="162">
        <f>'r-in'!Y116</f>
        <v>7.5522308701076017</v>
      </c>
      <c r="M162" s="81">
        <f>'r-in'!Z116</f>
        <v>1817.8487219994715</v>
      </c>
      <c r="N162" s="162">
        <f>'r-in'!AA116</f>
        <v>11.33648368999574</v>
      </c>
      <c r="O162" s="81">
        <f>'r-in'!AB116</f>
        <v>629147.82968641201</v>
      </c>
      <c r="P162" s="162">
        <f>'r-in'!AC116</f>
        <v>7.682553109908218</v>
      </c>
      <c r="Q162" s="81">
        <f>'r-in'!AD116</f>
        <v>2919840.0691325525</v>
      </c>
      <c r="R162" s="162">
        <f>'r-in'!AE116</f>
        <v>7.7516820891726192</v>
      </c>
      <c r="S162" s="157">
        <f>'r-in'!AF116</f>
        <v>4.6144414281703545</v>
      </c>
      <c r="T162" s="157">
        <f>'r-in'!AG116</f>
        <v>7.0697224909641448E-2</v>
      </c>
      <c r="U162" s="157">
        <f>'r-in'!AH116</f>
        <v>4.6286100734140216</v>
      </c>
      <c r="V162" s="157">
        <f>'r-in'!AI116</f>
        <v>6.5527345899669243E-2</v>
      </c>
      <c r="W162" s="158">
        <v>43</v>
      </c>
      <c r="X162" s="764">
        <f t="shared" si="93"/>
        <v>0.88015551819734172</v>
      </c>
      <c r="Y162" s="387">
        <f t="shared" si="101"/>
        <v>4.073896697699154</v>
      </c>
      <c r="Z162" s="640">
        <f t="shared" si="102"/>
        <v>7.0697224909641448E-2</v>
      </c>
      <c r="AA162" s="473">
        <f t="shared" si="104"/>
        <v>4.7839925266133232</v>
      </c>
      <c r="AB162" s="478">
        <f t="shared" si="105"/>
        <v>0.71035439905253739</v>
      </c>
      <c r="AC162" s="108">
        <v>1</v>
      </c>
      <c r="AD162" s="159">
        <f t="shared" si="96"/>
        <v>7.1336235325154998E-2</v>
      </c>
      <c r="AE162" s="160">
        <v>285</v>
      </c>
      <c r="AF162" s="160">
        <v>14</v>
      </c>
      <c r="AG162" s="160">
        <v>2.1</v>
      </c>
      <c r="AH162" s="303">
        <f t="shared" si="103"/>
        <v>0.83080967059445121</v>
      </c>
      <c r="AI162" s="86">
        <f t="shared" si="106"/>
        <v>1606.2062996754696</v>
      </c>
      <c r="AJ162" s="86"/>
      <c r="AK162" s="86"/>
      <c r="AL162" s="775"/>
      <c r="AM162" s="775"/>
      <c r="AN162" s="536"/>
      <c r="AP162" s="53"/>
      <c r="AQ162" s="108"/>
      <c r="AR162" s="108"/>
      <c r="AS162" s="724"/>
      <c r="AT162" s="724"/>
      <c r="AU162" s="724"/>
      <c r="AV162" s="634"/>
      <c r="AW162" s="108"/>
      <c r="AX162" s="725"/>
      <c r="AY162" s="53"/>
      <c r="AZ162" s="108"/>
      <c r="BA162" s="771"/>
      <c r="BB162" s="108"/>
      <c r="BC162" s="724"/>
      <c r="BD162" s="724"/>
      <c r="BE162" s="724"/>
      <c r="BF162" s="634"/>
      <c r="BG162" s="108"/>
      <c r="BH162" s="725"/>
      <c r="BI162" s="725"/>
      <c r="BJ162" s="725"/>
      <c r="BK162" s="725"/>
      <c r="BL162" s="634"/>
      <c r="BM162" s="724"/>
      <c r="BN162" s="475"/>
      <c r="BO162" s="475"/>
      <c r="BP162" s="10"/>
      <c r="BY162" s="14">
        <v>9.9860000000000007</v>
      </c>
    </row>
    <row r="163" spans="1:77" ht="15" customHeight="1" x14ac:dyDescent="0.2">
      <c r="A163" s="782" t="str">
        <f>'r-in'!A117</f>
        <v>044_U</v>
      </c>
      <c r="B163" s="707" t="s">
        <v>932</v>
      </c>
      <c r="C163" s="162">
        <f>'r-in'!P117</f>
        <v>1337.0758759235482</v>
      </c>
      <c r="D163" s="162">
        <f>'r-in'!Q117</f>
        <v>13.764233510667264</v>
      </c>
      <c r="E163" s="81">
        <f>'r-in'!R117</f>
        <v>590404.67028880154</v>
      </c>
      <c r="F163" s="162">
        <f>'r-in'!S117</f>
        <v>4.663404986616011</v>
      </c>
      <c r="G163" s="81">
        <f>'r-in'!T117</f>
        <v>1234.8711887046954</v>
      </c>
      <c r="H163" s="162">
        <f>'r-in'!U117</f>
        <v>12.903409081516251</v>
      </c>
      <c r="I163" s="81">
        <f>'r-in'!V117</f>
        <v>1290.3357295959315</v>
      </c>
      <c r="J163" s="162">
        <f>'r-in'!W117</f>
        <v>9.1327598212487739</v>
      </c>
      <c r="K163" s="81">
        <f>'r-in'!X117</f>
        <v>2632176.5825759764</v>
      </c>
      <c r="L163" s="162">
        <f>'r-in'!Y117</f>
        <v>4.8790444160452768</v>
      </c>
      <c r="M163" s="81">
        <f>'r-in'!Z117</f>
        <v>2397.2246407487769</v>
      </c>
      <c r="N163" s="162">
        <f>'r-in'!AA117</f>
        <v>8.2611005347130178</v>
      </c>
      <c r="O163" s="81">
        <f>'r-in'!AB117</f>
        <v>553231.33279884036</v>
      </c>
      <c r="P163" s="162">
        <f>'r-in'!AC117</f>
        <v>4.980103077905456</v>
      </c>
      <c r="Q163" s="81">
        <f>'r-in'!AD117</f>
        <v>2554692.7937578494</v>
      </c>
      <c r="R163" s="162">
        <f>'r-in'!AE117</f>
        <v>5.0267444237692356</v>
      </c>
      <c r="S163" s="157">
        <f>'r-in'!AF117</f>
        <v>4.5994495361974863</v>
      </c>
      <c r="T163" s="157">
        <f>'r-in'!AG117</f>
        <v>3.8555266727142129E-2</v>
      </c>
      <c r="U163" s="157">
        <f>'r-in'!AH117</f>
        <v>4.6130745580728121</v>
      </c>
      <c r="V163" s="157">
        <f>'r-in'!AI117</f>
        <v>5.0860702452184756E-2</v>
      </c>
      <c r="W163" s="158">
        <v>44</v>
      </c>
      <c r="X163" s="764">
        <f t="shared" si="93"/>
        <v>0.88015462887994544</v>
      </c>
      <c r="Y163" s="387">
        <f t="shared" si="101"/>
        <v>4.0602189256560939</v>
      </c>
      <c r="Z163" s="640">
        <f t="shared" si="102"/>
        <v>3.8555266727142129E-2</v>
      </c>
      <c r="AA163" s="473">
        <f t="shared" si="104"/>
        <v>1.4105131720543174</v>
      </c>
      <c r="AB163" s="478">
        <f t="shared" si="105"/>
        <v>0.38609649438714477</v>
      </c>
      <c r="AC163" s="108">
        <v>1</v>
      </c>
      <c r="AD163" s="159">
        <f t="shared" si="96"/>
        <v>7.1336235325154998E-2</v>
      </c>
      <c r="AE163" s="160">
        <v>285</v>
      </c>
      <c r="AF163" s="160">
        <v>14</v>
      </c>
      <c r="AG163" s="160">
        <v>2.1</v>
      </c>
      <c r="AH163" s="303">
        <f t="shared" si="103"/>
        <v>0.72828302610861873</v>
      </c>
      <c r="AI163" s="86">
        <f t="shared" si="106"/>
        <v>1065.6876916465731</v>
      </c>
      <c r="AJ163" s="86"/>
      <c r="AK163" s="86"/>
      <c r="AL163" s="86"/>
      <c r="AM163" s="86"/>
      <c r="AN163" s="536"/>
      <c r="AP163" s="53"/>
      <c r="AQ163" s="108"/>
      <c r="AR163" s="110"/>
      <c r="AS163" s="724"/>
      <c r="AT163" s="750"/>
      <c r="AU163" s="750"/>
      <c r="AV163" s="751"/>
      <c r="AW163" s="108"/>
      <c r="AX163" s="724"/>
      <c r="AY163" s="53"/>
      <c r="AZ163" s="108"/>
      <c r="BA163" s="771"/>
      <c r="BB163" s="108"/>
      <c r="BC163" s="724"/>
      <c r="BD163" s="724"/>
      <c r="BE163" s="724"/>
      <c r="BF163" s="634"/>
      <c r="BG163" s="108"/>
      <c r="BH163" s="725"/>
      <c r="BI163" s="725"/>
      <c r="BJ163" s="725"/>
      <c r="BK163" s="725"/>
      <c r="BL163" s="725"/>
      <c r="BM163" s="725"/>
      <c r="BN163" s="475"/>
      <c r="BO163" s="475"/>
      <c r="BP163" s="475"/>
      <c r="BY163" s="14">
        <v>9.9860000000000007</v>
      </c>
    </row>
    <row r="164" spans="1:77" ht="15" customHeight="1" x14ac:dyDescent="0.2">
      <c r="A164" s="782" t="str">
        <f>'r-in'!A118</f>
        <v>045_U</v>
      </c>
      <c r="B164" s="707" t="s">
        <v>932</v>
      </c>
      <c r="C164" s="162">
        <f>'r-in'!P118</f>
        <v>1166.1874752439589</v>
      </c>
      <c r="D164" s="162">
        <f>'r-in'!Q118</f>
        <v>14.357035497893374</v>
      </c>
      <c r="E164" s="81">
        <f>'r-in'!R118</f>
        <v>553277.68261846679</v>
      </c>
      <c r="F164" s="162">
        <f>'r-in'!S118</f>
        <v>3.5976737110874493</v>
      </c>
      <c r="G164" s="81">
        <f>'r-in'!T118</f>
        <v>1291.037335786513</v>
      </c>
      <c r="H164" s="162">
        <f>'r-in'!U118</f>
        <v>13.666106611390655</v>
      </c>
      <c r="I164" s="81">
        <f>'r-in'!V118</f>
        <v>1223.2836898064661</v>
      </c>
      <c r="J164" s="162">
        <f>'r-in'!W118</f>
        <v>9.5575829298812671</v>
      </c>
      <c r="K164" s="81">
        <f>'r-in'!X118</f>
        <v>2455768.890296537</v>
      </c>
      <c r="L164" s="162">
        <f>'r-in'!Y118</f>
        <v>3.7690610065057024</v>
      </c>
      <c r="M164" s="81">
        <f>'r-in'!Z118</f>
        <v>1426.9266001867552</v>
      </c>
      <c r="N164" s="162">
        <f>'r-in'!AA118</f>
        <v>12.958937476332164</v>
      </c>
      <c r="O164" s="81">
        <f>'r-in'!AB118</f>
        <v>516075.90734439017</v>
      </c>
      <c r="P164" s="162">
        <f>'r-in'!AC118</f>
        <v>3.8553695832019539</v>
      </c>
      <c r="Q164" s="81">
        <f>'r-in'!AD118</f>
        <v>2379222.4894301258</v>
      </c>
      <c r="R164" s="162">
        <f>'r-in'!AE118</f>
        <v>3.8892307511059676</v>
      </c>
      <c r="S164" s="157">
        <f>'r-in'!AF118</f>
        <v>4.5959164331583526</v>
      </c>
      <c r="T164" s="157">
        <f>'r-in'!AG118</f>
        <v>4.2728218541534489E-2</v>
      </c>
      <c r="U164" s="157">
        <f>'r-in'!AH118</f>
        <v>4.6073634942184922</v>
      </c>
      <c r="V164" s="157">
        <f>'r-in'!AI118</f>
        <v>4.9120900918193051E-2</v>
      </c>
      <c r="W164" s="158">
        <v>45</v>
      </c>
      <c r="X164" s="764">
        <f t="shared" si="93"/>
        <v>0.88015451990342342</v>
      </c>
      <c r="Y164" s="387">
        <f t="shared" si="101"/>
        <v>4.0551918042744362</v>
      </c>
      <c r="Z164" s="640">
        <f t="shared" si="102"/>
        <v>4.2728218541534489E-2</v>
      </c>
      <c r="AA164" s="473">
        <f t="shared" si="104"/>
        <v>0.17062628546948844</v>
      </c>
      <c r="AB164" s="478">
        <f t="shared" si="105"/>
        <v>0.42735509098745794</v>
      </c>
      <c r="AC164" s="108">
        <v>1</v>
      </c>
      <c r="AD164" s="159">
        <f t="shared" si="96"/>
        <v>7.1336235325154998E-2</v>
      </c>
      <c r="AE164" s="160">
        <v>285</v>
      </c>
      <c r="AF164" s="160">
        <v>14</v>
      </c>
      <c r="AG164" s="160">
        <v>2.1</v>
      </c>
      <c r="AH164" s="303">
        <f t="shared" si="103"/>
        <v>0.67952873610395259</v>
      </c>
      <c r="AI164" s="86">
        <f t="shared" si="106"/>
        <v>1667.3755252153367</v>
      </c>
      <c r="AJ164" s="86"/>
      <c r="AK164" s="86"/>
      <c r="AL164" s="775"/>
      <c r="AM164" s="775"/>
      <c r="AN164" s="536"/>
      <c r="AP164" s="53"/>
      <c r="AQ164" s="108"/>
      <c r="AR164" s="108"/>
      <c r="AS164" s="724"/>
      <c r="AT164" s="724"/>
      <c r="AU164" s="724"/>
      <c r="AV164" s="634"/>
      <c r="AW164" s="108"/>
      <c r="AX164" s="725"/>
      <c r="AY164" s="53"/>
      <c r="AZ164" s="108"/>
      <c r="BA164" s="771"/>
      <c r="BB164" s="108"/>
      <c r="BC164" s="724"/>
      <c r="BD164" s="724"/>
      <c r="BE164" s="724"/>
      <c r="BF164" s="634"/>
      <c r="BG164" s="108"/>
      <c r="BH164" s="725"/>
      <c r="BI164" s="725"/>
      <c r="BJ164" s="725"/>
      <c r="BK164" s="725"/>
      <c r="BL164" s="634"/>
      <c r="BM164" s="724"/>
      <c r="BN164" s="475"/>
      <c r="BO164" s="475"/>
      <c r="BP164" s="10"/>
      <c r="BY164" s="14">
        <v>9.9860000000000007</v>
      </c>
    </row>
    <row r="165" spans="1:77" ht="15" customHeight="1" x14ac:dyDescent="0.2">
      <c r="A165" s="782" t="str">
        <f>'r-in'!A119</f>
        <v>046_U</v>
      </c>
      <c r="B165" s="707" t="s">
        <v>932</v>
      </c>
      <c r="C165" s="162">
        <f>'r-in'!P119</f>
        <v>1320.9185194525367</v>
      </c>
      <c r="D165" s="162">
        <f>'r-in'!Q119</f>
        <v>13.254414045844555</v>
      </c>
      <c r="E165" s="81">
        <f>'r-in'!R119</f>
        <v>557373.53744125227</v>
      </c>
      <c r="F165" s="162">
        <f>'r-in'!S119</f>
        <v>5.1235712281458756</v>
      </c>
      <c r="G165" s="81">
        <f>'r-in'!T119</f>
        <v>1413.453172231902</v>
      </c>
      <c r="H165" s="162">
        <f>'r-in'!U119</f>
        <v>11.28427240998915</v>
      </c>
      <c r="I165" s="81">
        <f>'r-in'!V119</f>
        <v>1363.2363752082251</v>
      </c>
      <c r="J165" s="162">
        <f>'r-in'!W119</f>
        <v>7.8989909527437314</v>
      </c>
      <c r="K165" s="81">
        <f>'r-in'!X119</f>
        <v>2477419.0514070177</v>
      </c>
      <c r="L165" s="162">
        <f>'r-in'!Y119</f>
        <v>5.365443136947035</v>
      </c>
      <c r="M165" s="81">
        <f>'r-in'!Z119</f>
        <v>2535.7518987872327</v>
      </c>
      <c r="N165" s="162">
        <f>'r-in'!AA119</f>
        <v>8.8615780787968355</v>
      </c>
      <c r="O165" s="81">
        <f>'r-in'!AB119</f>
        <v>520232.36432070599</v>
      </c>
      <c r="P165" s="162">
        <f>'r-in'!AC119</f>
        <v>5.4913764836516918</v>
      </c>
      <c r="Q165" s="81">
        <f>'r-in'!AD119</f>
        <v>2399619.8807685985</v>
      </c>
      <c r="R165" s="162">
        <f>'r-in'!AE119</f>
        <v>5.5379962015024313</v>
      </c>
      <c r="S165" s="157">
        <f>'r-in'!AF119</f>
        <v>4.5924788144462108</v>
      </c>
      <c r="T165" s="157">
        <f>'r-in'!AG119</f>
        <v>4.5412215718507627E-2</v>
      </c>
      <c r="U165" s="157">
        <f>'r-in'!AH119</f>
        <v>4.6077041782447301</v>
      </c>
      <c r="V165" s="157">
        <f>'r-in'!AI119</f>
        <v>4.82160587224435E-2</v>
      </c>
      <c r="W165" s="158">
        <v>46</v>
      </c>
      <c r="X165" s="764">
        <f t="shared" si="93"/>
        <v>0.88015517616682459</v>
      </c>
      <c r="Y165" s="387">
        <f t="shared" si="101"/>
        <v>4.0554946827276046</v>
      </c>
      <c r="Z165" s="640">
        <f t="shared" si="102"/>
        <v>4.5412215718507627E-2</v>
      </c>
      <c r="AA165" s="473">
        <f t="shared" si="104"/>
        <v>0.24532808671962059</v>
      </c>
      <c r="AB165" s="478">
        <f t="shared" si="105"/>
        <v>0.45423356610507781</v>
      </c>
      <c r="AC165" s="108">
        <v>1</v>
      </c>
      <c r="AD165" s="159">
        <f t="shared" si="96"/>
        <v>7.1336235325154998E-2</v>
      </c>
      <c r="AE165" s="160">
        <v>285</v>
      </c>
      <c r="AF165" s="160">
        <v>14</v>
      </c>
      <c r="AG165" s="160">
        <v>2.1</v>
      </c>
      <c r="AH165" s="303">
        <f t="shared" si="103"/>
        <v>0.68662363641189272</v>
      </c>
      <c r="AI165" s="86">
        <f t="shared" si="106"/>
        <v>946.31493006719563</v>
      </c>
      <c r="AJ165" s="86"/>
      <c r="AK165" s="86"/>
      <c r="AL165" s="86"/>
      <c r="AM165" s="86"/>
      <c r="AN165" s="536"/>
      <c r="AP165" s="53"/>
      <c r="AQ165" s="108"/>
      <c r="AR165" s="110"/>
      <c r="AS165" s="724"/>
      <c r="AT165" s="750"/>
      <c r="AU165" s="750"/>
      <c r="AV165" s="751"/>
      <c r="AW165" s="108"/>
      <c r="AX165" s="724"/>
      <c r="AY165" s="53"/>
      <c r="AZ165" s="108"/>
      <c r="BA165" s="771"/>
      <c r="BB165" s="108"/>
      <c r="BC165" s="724"/>
      <c r="BD165" s="724"/>
      <c r="BE165" s="724"/>
      <c r="BF165" s="634"/>
      <c r="BG165" s="108"/>
      <c r="BH165" s="725"/>
      <c r="BI165" s="725"/>
      <c r="BJ165" s="725"/>
      <c r="BK165" s="725"/>
      <c r="BL165" s="725"/>
      <c r="BM165" s="725"/>
      <c r="BN165" s="475"/>
      <c r="BO165" s="475"/>
      <c r="BP165" s="475"/>
      <c r="BY165" s="14">
        <v>9.9860000000000007</v>
      </c>
    </row>
    <row r="166" spans="1:77" ht="15" customHeight="1" x14ac:dyDescent="0.2">
      <c r="A166" s="782" t="str">
        <f>'r-in'!A120</f>
        <v>047_U</v>
      </c>
      <c r="B166" s="707" t="s">
        <v>932</v>
      </c>
      <c r="C166" s="162">
        <f>'r-in'!P120</f>
        <v>1408.301707258933</v>
      </c>
      <c r="D166" s="162">
        <f>'r-in'!Q120</f>
        <v>10.896894573416429</v>
      </c>
      <c r="E166" s="81">
        <f>'r-in'!R120</f>
        <v>610316.36453924037</v>
      </c>
      <c r="F166" s="162">
        <f>'r-in'!S120</f>
        <v>5.1182536112926416</v>
      </c>
      <c r="G166" s="81">
        <f>'r-in'!T120</f>
        <v>1234.3917544866299</v>
      </c>
      <c r="H166" s="162">
        <f>'r-in'!U120</f>
        <v>14.00931650976462</v>
      </c>
      <c r="I166" s="81">
        <f>'r-in'!V120</f>
        <v>1328.7693799107708</v>
      </c>
      <c r="J166" s="162">
        <f>'r-in'!W120</f>
        <v>9.1837090205079921</v>
      </c>
      <c r="K166" s="81">
        <f>'r-in'!X120</f>
        <v>2724855.0655073365</v>
      </c>
      <c r="L166" s="162">
        <f>'r-in'!Y120</f>
        <v>5.3394546609484594</v>
      </c>
      <c r="M166" s="81">
        <f>'r-in'!Z120</f>
        <v>1935.8598455378024</v>
      </c>
      <c r="N166" s="162">
        <f>'r-in'!AA120</f>
        <v>12.125441290780241</v>
      </c>
      <c r="O166" s="81">
        <f>'r-in'!AB120</f>
        <v>573068.596963863</v>
      </c>
      <c r="P166" s="162">
        <f>'r-in'!AC120</f>
        <v>5.4511714760446592</v>
      </c>
      <c r="Q166" s="81">
        <f>'r-in'!AD120</f>
        <v>2647786.7570712855</v>
      </c>
      <c r="R166" s="162">
        <f>'r-in'!AE120</f>
        <v>5.4941797486676451</v>
      </c>
      <c r="S166" s="157">
        <f>'r-in'!AF120</f>
        <v>4.6027073404568295</v>
      </c>
      <c r="T166" s="157">
        <f>'r-in'!AG120</f>
        <v>4.2607096930797748E-2</v>
      </c>
      <c r="U166" s="157">
        <f>'r-in'!AH120</f>
        <v>4.6158579219682139</v>
      </c>
      <c r="V166" s="157">
        <f>'r-in'!AI120</f>
        <v>4.6738519562888367E-2</v>
      </c>
      <c r="W166" s="158">
        <v>47</v>
      </c>
      <c r="X166" s="764">
        <f t="shared" si="93"/>
        <v>0.8801565826902995</v>
      </c>
      <c r="Y166" s="387">
        <f t="shared" si="101"/>
        <v>4.0626777347834899</v>
      </c>
      <c r="Z166" s="640">
        <f t="shared" si="102"/>
        <v>4.2607096930797748E-2</v>
      </c>
      <c r="AA166" s="473">
        <f t="shared" si="104"/>
        <v>2.0169527151288058</v>
      </c>
      <c r="AB166" s="478">
        <f t="shared" si="105"/>
        <v>0.4269303343062969</v>
      </c>
      <c r="AC166" s="108">
        <v>1</v>
      </c>
      <c r="AD166" s="159">
        <f t="shared" si="96"/>
        <v>7.1336235325154998E-2</v>
      </c>
      <c r="AE166" s="160">
        <v>285</v>
      </c>
      <c r="AF166" s="160">
        <v>14</v>
      </c>
      <c r="AG166" s="160">
        <v>2.1</v>
      </c>
      <c r="AH166" s="303">
        <f t="shared" si="103"/>
        <v>0.75902331536080292</v>
      </c>
      <c r="AI166" s="86">
        <f t="shared" si="106"/>
        <v>1367.7574661071098</v>
      </c>
      <c r="AJ166" s="86"/>
      <c r="AK166" s="86"/>
      <c r="AL166" s="775"/>
      <c r="AM166" s="775"/>
      <c r="AN166" s="536"/>
      <c r="AP166" s="53"/>
      <c r="AQ166" s="108"/>
      <c r="AR166" s="108"/>
      <c r="AS166" s="724"/>
      <c r="AT166" s="724"/>
      <c r="AU166" s="724"/>
      <c r="AV166" s="634"/>
      <c r="AW166" s="108"/>
      <c r="AX166" s="725"/>
      <c r="AY166" s="53"/>
      <c r="AZ166" s="108"/>
      <c r="BA166" s="771"/>
      <c r="BB166" s="108"/>
      <c r="BC166" s="724"/>
      <c r="BD166" s="724"/>
      <c r="BE166" s="724"/>
      <c r="BF166" s="634"/>
      <c r="BG166" s="108"/>
      <c r="BH166" s="725"/>
      <c r="BI166" s="725"/>
      <c r="BJ166" s="725"/>
      <c r="BK166" s="725"/>
      <c r="BL166" s="634"/>
      <c r="BM166" s="724"/>
      <c r="BN166" s="475"/>
      <c r="BO166" s="475"/>
      <c r="BP166" s="10"/>
      <c r="BY166" s="14">
        <v>9.9860000000000007</v>
      </c>
    </row>
    <row r="167" spans="1:77" ht="15" customHeight="1" x14ac:dyDescent="0.2">
      <c r="A167" s="782" t="str">
        <f>'r-in'!A121</f>
        <v>048_U</v>
      </c>
      <c r="B167" s="707" t="s">
        <v>932</v>
      </c>
      <c r="C167" s="162">
        <f>'r-in'!P121</f>
        <v>1203.526787630002</v>
      </c>
      <c r="D167" s="162">
        <f>'r-in'!Q121</f>
        <v>15.359199787340282</v>
      </c>
      <c r="E167" s="81">
        <f>'r-in'!R121</f>
        <v>601466.82984273601</v>
      </c>
      <c r="F167" s="162">
        <f>'r-in'!S121</f>
        <v>5.1005131407242743</v>
      </c>
      <c r="G167" s="81">
        <f>'r-in'!T121</f>
        <v>1242.7474017705038</v>
      </c>
      <c r="H167" s="162">
        <f>'r-in'!U121</f>
        <v>13.481431848088409</v>
      </c>
      <c r="I167" s="81">
        <f>'r-in'!V121</f>
        <v>1221.463120041652</v>
      </c>
      <c r="J167" s="162">
        <f>'r-in'!W121</f>
        <v>10.242929614191253</v>
      </c>
      <c r="K167" s="81">
        <f>'r-in'!X121</f>
        <v>2687756.2086862884</v>
      </c>
      <c r="L167" s="162">
        <f>'r-in'!Y121</f>
        <v>5.3175300773098062</v>
      </c>
      <c r="M167" s="81">
        <f>'r-in'!Z121</f>
        <v>1641.6624672847961</v>
      </c>
      <c r="N167" s="162">
        <f>'r-in'!AA121</f>
        <v>12.589261415627092</v>
      </c>
      <c r="O167" s="81">
        <f>'r-in'!AB121</f>
        <v>564176.95337107079</v>
      </c>
      <c r="P167" s="162">
        <f>'r-in'!AC121</f>
        <v>5.4405873121124078</v>
      </c>
      <c r="Q167" s="81">
        <f>'r-in'!AD121</f>
        <v>2611018.4896792783</v>
      </c>
      <c r="R167" s="162">
        <f>'r-in'!AE121</f>
        <v>5.4721447731900277</v>
      </c>
      <c r="S167" s="157">
        <f>'r-in'!AF121</f>
        <v>4.6097018701867398</v>
      </c>
      <c r="T167" s="157">
        <f>'r-in'!AG121</f>
        <v>3.6443212760631942E-2</v>
      </c>
      <c r="U167" s="157">
        <f>'r-in'!AH121</f>
        <v>4.6248561026289536</v>
      </c>
      <c r="V167" s="157">
        <f>'r-in'!AI121</f>
        <v>4.2336244432867313E-2</v>
      </c>
      <c r="W167" s="158">
        <v>48</v>
      </c>
      <c r="X167" s="764">
        <f t="shared" si="93"/>
        <v>0.88015872461484279</v>
      </c>
      <c r="Y167" s="387">
        <f t="shared" si="101"/>
        <v>4.0706074488170723</v>
      </c>
      <c r="Z167" s="640">
        <f t="shared" si="102"/>
        <v>3.6443212760631942E-2</v>
      </c>
      <c r="AA167" s="473">
        <f t="shared" si="104"/>
        <v>3.9727337075032843</v>
      </c>
      <c r="AB167" s="478">
        <f t="shared" si="105"/>
        <v>0.36587991940373321</v>
      </c>
      <c r="AC167" s="108">
        <v>1</v>
      </c>
      <c r="AD167" s="159">
        <f t="shared" si="96"/>
        <v>7.1336235325154998E-2</v>
      </c>
      <c r="AE167" s="160">
        <v>285</v>
      </c>
      <c r="AF167" s="160">
        <v>14</v>
      </c>
      <c r="AG167" s="160">
        <v>2.1</v>
      </c>
      <c r="AH167" s="303">
        <f t="shared" si="103"/>
        <v>0.74984272131002994</v>
      </c>
      <c r="AI167" s="86">
        <f t="shared" si="106"/>
        <v>1590.4721839671065</v>
      </c>
      <c r="AJ167" s="86"/>
      <c r="AK167" s="86"/>
      <c r="AL167" s="86"/>
      <c r="AM167" s="86"/>
      <c r="AN167" s="536"/>
      <c r="AP167" s="53"/>
      <c r="AQ167" s="108"/>
      <c r="AR167" s="110"/>
      <c r="AS167" s="724"/>
      <c r="AT167" s="750"/>
      <c r="AU167" s="750"/>
      <c r="AV167" s="751"/>
      <c r="AW167" s="108"/>
      <c r="AX167" s="724"/>
      <c r="AY167" s="53"/>
      <c r="AZ167" s="108"/>
      <c r="BA167" s="771"/>
      <c r="BB167" s="108"/>
      <c r="BC167" s="724"/>
      <c r="BD167" s="724"/>
      <c r="BE167" s="724"/>
      <c r="BF167" s="634"/>
      <c r="BG167" s="108"/>
      <c r="BH167" s="725"/>
      <c r="BI167" s="725"/>
      <c r="BJ167" s="725"/>
      <c r="BK167" s="725"/>
      <c r="BL167" s="725"/>
      <c r="BM167" s="725"/>
      <c r="BN167" s="475"/>
      <c r="BO167" s="475"/>
      <c r="BP167" s="475"/>
      <c r="BY167" s="14">
        <v>9.9860000000000007</v>
      </c>
    </row>
    <row r="168" spans="1:77" ht="15" customHeight="1" x14ac:dyDescent="0.2">
      <c r="A168" s="782" t="str">
        <f>'r-in'!A122</f>
        <v>049_U</v>
      </c>
      <c r="B168" s="707" t="s">
        <v>932</v>
      </c>
      <c r="C168" s="162">
        <f>'r-in'!P122</f>
        <v>1037.1087539789567</v>
      </c>
      <c r="D168" s="162">
        <f>'r-in'!Q122</f>
        <v>16.672018987130048</v>
      </c>
      <c r="E168" s="81">
        <f>'r-in'!R122</f>
        <v>503777.16608248127</v>
      </c>
      <c r="F168" s="162">
        <f>'r-in'!S122</f>
        <v>3.5862972291436965</v>
      </c>
      <c r="G168" s="81">
        <f>'r-in'!T122</f>
        <v>1128.0809668640529</v>
      </c>
      <c r="H168" s="162">
        <f>'r-in'!U122</f>
        <v>13.751279185573189</v>
      </c>
      <c r="I168" s="81">
        <f>'r-in'!V122</f>
        <v>1078.7120762697584</v>
      </c>
      <c r="J168" s="162">
        <f>'r-in'!W122</f>
        <v>10.26595237616713</v>
      </c>
      <c r="K168" s="81">
        <f>'r-in'!X122</f>
        <v>2227340.3681253162</v>
      </c>
      <c r="L168" s="162">
        <f>'r-in'!Y122</f>
        <v>3.7686890971236977</v>
      </c>
      <c r="M168" s="81">
        <f>'r-in'!Z122</f>
        <v>2798.0688794343473</v>
      </c>
      <c r="N168" s="162">
        <f>'r-in'!AA122</f>
        <v>7.6876041377555833</v>
      </c>
      <c r="O168" s="81">
        <f>'r-in'!AB122</f>
        <v>466605.27888507815</v>
      </c>
      <c r="P168" s="162">
        <f>'r-in'!AC122</f>
        <v>3.8715889222928452</v>
      </c>
      <c r="Q168" s="81">
        <f>'r-in'!AD122</f>
        <v>2149782.4900036184</v>
      </c>
      <c r="R168" s="162">
        <f>'r-in'!AE122</f>
        <v>3.9027735986314633</v>
      </c>
      <c r="S168" s="157">
        <f>'r-in'!AF122</f>
        <v>4.5934359618783187</v>
      </c>
      <c r="T168" s="157">
        <f>'r-in'!AG122</f>
        <v>4.5367167990730289E-2</v>
      </c>
      <c r="U168" s="157">
        <f>'r-in'!AH122</f>
        <v>4.6052595569031469</v>
      </c>
      <c r="V168" s="157">
        <f>'r-in'!AI122</f>
        <v>5.3701322644820901E-2</v>
      </c>
      <c r="W168" s="158">
        <v>49</v>
      </c>
      <c r="X168" s="764">
        <f t="shared" si="93"/>
        <v>0.88016158720204396</v>
      </c>
      <c r="Y168" s="387">
        <f t="shared" si="101"/>
        <v>4.0533725610812557</v>
      </c>
      <c r="Z168" s="640">
        <f t="shared" si="102"/>
        <v>4.5367167990730289E-2</v>
      </c>
      <c r="AA168" s="473">
        <f t="shared" si="104"/>
        <v>-0.2780710121456087</v>
      </c>
      <c r="AB168" s="478">
        <f t="shared" si="105"/>
        <v>0.4535455269639721</v>
      </c>
      <c r="AC168" s="108">
        <v>1</v>
      </c>
      <c r="AD168" s="159">
        <f t="shared" si="96"/>
        <v>7.1336235325154998E-2</v>
      </c>
      <c r="AE168" s="160">
        <v>285</v>
      </c>
      <c r="AF168" s="160">
        <v>14</v>
      </c>
      <c r="AG168" s="160">
        <v>2.1</v>
      </c>
      <c r="AH168" s="303">
        <f t="shared" si="103"/>
        <v>0.61849360040043599</v>
      </c>
      <c r="AI168" s="86">
        <f t="shared" si="106"/>
        <v>768.30935285560759</v>
      </c>
      <c r="AJ168" s="86"/>
      <c r="AK168" s="86"/>
      <c r="AL168" s="775"/>
      <c r="AM168" s="775"/>
      <c r="AN168" s="536"/>
      <c r="AP168" s="53"/>
      <c r="AQ168" s="108"/>
      <c r="AR168" s="108"/>
      <c r="AS168" s="724"/>
      <c r="AT168" s="724"/>
      <c r="AU168" s="724"/>
      <c r="AV168" s="634"/>
      <c r="AW168" s="108"/>
      <c r="AX168" s="725"/>
      <c r="AY168" s="53"/>
      <c r="AZ168" s="108"/>
      <c r="BA168" s="771"/>
      <c r="BB168" s="108"/>
      <c r="BC168" s="724"/>
      <c r="BD168" s="724"/>
      <c r="BE168" s="724"/>
      <c r="BF168" s="634"/>
      <c r="BG168" s="108"/>
      <c r="BH168" s="725"/>
      <c r="BI168" s="725"/>
      <c r="BJ168" s="725"/>
      <c r="BK168" s="725"/>
      <c r="BL168" s="634"/>
      <c r="BM168" s="724"/>
      <c r="BN168" s="475"/>
      <c r="BO168" s="475"/>
      <c r="BP168" s="10"/>
      <c r="BY168" s="14">
        <v>9.9860000000000007</v>
      </c>
    </row>
    <row r="169" spans="1:77" ht="15" customHeight="1" x14ac:dyDescent="0.2">
      <c r="A169" s="782" t="str">
        <f>'r-in'!A123</f>
        <v>050_U</v>
      </c>
      <c r="B169" s="707" t="s">
        <v>932</v>
      </c>
      <c r="C169" s="162">
        <f>'r-in'!P123</f>
        <v>1116.0125683345193</v>
      </c>
      <c r="D169" s="162">
        <f>'r-in'!Q123</f>
        <v>15.32807737402972</v>
      </c>
      <c r="E169" s="81">
        <f>'r-in'!R123</f>
        <v>810429.08022359223</v>
      </c>
      <c r="F169" s="162">
        <f>'r-in'!S123</f>
        <v>7.2302724615878109</v>
      </c>
      <c r="G169" s="81">
        <f>'r-in'!T123</f>
        <v>1338.519279086049</v>
      </c>
      <c r="H169" s="162">
        <f>'r-in'!U123</f>
        <v>12.538974737218249</v>
      </c>
      <c r="I169" s="81">
        <f>'r-in'!V123</f>
        <v>1217.7691169078096</v>
      </c>
      <c r="J169" s="162">
        <f>'r-in'!W123</f>
        <v>10.314968525271048</v>
      </c>
      <c r="K169" s="81">
        <f>'r-in'!X123</f>
        <v>3667828.5705065788</v>
      </c>
      <c r="L169" s="162">
        <f>'r-in'!Y123</f>
        <v>7.4576680383380642</v>
      </c>
      <c r="M169" s="81">
        <f>'r-in'!Z123</f>
        <v>2241.3033917136158</v>
      </c>
      <c r="N169" s="162">
        <f>'r-in'!AA123</f>
        <v>11.308199534952488</v>
      </c>
      <c r="O169" s="81">
        <f>'r-in'!AB123</f>
        <v>773086.86966966267</v>
      </c>
      <c r="P169" s="162">
        <f>'r-in'!AC123</f>
        <v>7.5807531669975035</v>
      </c>
      <c r="Q169" s="81">
        <f>'r-in'!AD123</f>
        <v>3590676.7048027767</v>
      </c>
      <c r="R169" s="162">
        <f>'r-in'!AE123</f>
        <v>7.6176903857014917</v>
      </c>
      <c r="S169" s="157">
        <f>'r-in'!AF123</f>
        <v>4.6301226648048033</v>
      </c>
      <c r="T169" s="157">
        <f>'r-in'!AG123</f>
        <v>5.1820199347215552E-2</v>
      </c>
      <c r="U169" s="157">
        <f>'r-in'!AH123</f>
        <v>4.6369683069719558</v>
      </c>
      <c r="V169" s="157">
        <f>'r-in'!AI123</f>
        <v>5.0774621697981963E-2</v>
      </c>
      <c r="W169" s="158">
        <v>50</v>
      </c>
      <c r="X169" s="764">
        <f t="shared" si="93"/>
        <v>0.8801651558338478</v>
      </c>
      <c r="Y169" s="387">
        <f t="shared" si="101"/>
        <v>4.0812979325025847</v>
      </c>
      <c r="Z169" s="640">
        <f t="shared" si="102"/>
        <v>5.1820199347215552E-2</v>
      </c>
      <c r="AA169" s="473">
        <f t="shared" si="104"/>
        <v>6.6094296467098523</v>
      </c>
      <c r="AB169" s="478">
        <f t="shared" si="105"/>
        <v>0.52162701309099724</v>
      </c>
      <c r="AC169" s="108">
        <v>1</v>
      </c>
      <c r="AD169" s="159">
        <f t="shared" si="96"/>
        <v>7.1336235325154998E-2</v>
      </c>
      <c r="AE169" s="160">
        <v>285</v>
      </c>
      <c r="AF169" s="160">
        <v>14</v>
      </c>
      <c r="AG169" s="160">
        <v>2.1</v>
      </c>
      <c r="AH169" s="303">
        <f t="shared" si="103"/>
        <v>1.0348795596622893</v>
      </c>
      <c r="AI169" s="86">
        <f t="shared" si="106"/>
        <v>1602.0484857507315</v>
      </c>
      <c r="AJ169" s="86"/>
      <c r="AK169" s="86"/>
      <c r="AL169" s="86"/>
      <c r="AM169" s="86"/>
      <c r="AN169" s="536"/>
      <c r="AP169" s="53"/>
      <c r="AQ169" s="108"/>
      <c r="AR169" s="110"/>
      <c r="AS169" s="724"/>
      <c r="AT169" s="750"/>
      <c r="AU169" s="750"/>
      <c r="AV169" s="751"/>
      <c r="AW169" s="108"/>
      <c r="AX169" s="724"/>
      <c r="AY169" s="53"/>
      <c r="AZ169" s="108"/>
      <c r="BA169" s="771"/>
      <c r="BB169" s="108"/>
      <c r="BC169" s="724"/>
      <c r="BD169" s="724"/>
      <c r="BE169" s="724"/>
      <c r="BF169" s="634"/>
      <c r="BG169" s="108"/>
      <c r="BH169" s="725"/>
      <c r="BI169" s="725"/>
      <c r="BJ169" s="725"/>
      <c r="BK169" s="725"/>
      <c r="BL169" s="725"/>
      <c r="BM169" s="725"/>
      <c r="BN169" s="475"/>
      <c r="BO169" s="475"/>
      <c r="BP169" s="475"/>
      <c r="BY169" s="14">
        <v>9.9860000000000007</v>
      </c>
    </row>
    <row r="170" spans="1:77" ht="15" customHeight="1" x14ac:dyDescent="0.2">
      <c r="A170" s="782" t="str">
        <f>'r-in'!A124</f>
        <v>059_U</v>
      </c>
      <c r="B170" s="707" t="s">
        <v>932</v>
      </c>
      <c r="C170" s="162">
        <f>'r-in'!P124</f>
        <v>762.50965307740057</v>
      </c>
      <c r="D170" s="162">
        <f>'r-in'!Q124</f>
        <v>21.983212237458243</v>
      </c>
      <c r="E170" s="81">
        <f>'r-in'!R124</f>
        <v>599764.64205669973</v>
      </c>
      <c r="F170" s="162">
        <f>'r-in'!S124</f>
        <v>4.4338003988951673</v>
      </c>
      <c r="G170" s="81">
        <f>'r-in'!T124</f>
        <v>642.62705677946235</v>
      </c>
      <c r="H170" s="162">
        <f>'r-in'!U124</f>
        <v>25.055227112866593</v>
      </c>
      <c r="I170" s="81">
        <f>'r-in'!V124</f>
        <v>707.68506287928426</v>
      </c>
      <c r="J170" s="162">
        <f>'r-in'!W124</f>
        <v>18.122379536145605</v>
      </c>
      <c r="K170" s="81">
        <f>'r-in'!X124</f>
        <v>2678455.5508073438</v>
      </c>
      <c r="L170" s="162">
        <f>'r-in'!Y124</f>
        <v>4.6195048422268563</v>
      </c>
      <c r="M170" s="81">
        <f>'r-in'!Z124</f>
        <v>659.83325406392339</v>
      </c>
      <c r="N170" s="162">
        <f>'r-in'!AA124</f>
        <v>46.259153268398499</v>
      </c>
      <c r="O170" s="81">
        <f>'r-in'!AB124</f>
        <v>561515.41712760599</v>
      </c>
      <c r="P170" s="162">
        <f>'r-in'!AC124</f>
        <v>4.7398653855952082</v>
      </c>
      <c r="Q170" s="81">
        <f>'r-in'!AD124</f>
        <v>2598139.3137642574</v>
      </c>
      <c r="R170" s="162">
        <f>'r-in'!AE124</f>
        <v>4.7634834418416263</v>
      </c>
      <c r="S170" s="157">
        <f>'r-in'!AF124</f>
        <v>4.6186722063790988</v>
      </c>
      <c r="T170" s="157">
        <f>'r-in'!AG124</f>
        <v>3.8696873026147709E-2</v>
      </c>
      <c r="U170" s="157">
        <f>'r-in'!AH124</f>
        <v>4.6246917224290716</v>
      </c>
      <c r="V170" s="157">
        <f>'r-in'!AI124</f>
        <v>3.9816383750965724E-2</v>
      </c>
      <c r="W170" s="158">
        <v>59</v>
      </c>
      <c r="X170" s="764">
        <f t="shared" si="93"/>
        <v>0.88022669283608967</v>
      </c>
      <c r="Y170" s="387">
        <f t="shared" si="101"/>
        <v>4.0707771002201811</v>
      </c>
      <c r="Z170" s="640">
        <f t="shared" si="102"/>
        <v>3.8696873026147709E-2</v>
      </c>
      <c r="AA170" s="473">
        <f t="shared" si="104"/>
        <v>4.0145764509016413</v>
      </c>
      <c r="AB170" s="478">
        <f t="shared" si="105"/>
        <v>0.38852224581309436</v>
      </c>
      <c r="AC170" s="108">
        <v>1</v>
      </c>
      <c r="AD170" s="159">
        <f t="shared" si="96"/>
        <v>7.1336235325154998E-2</v>
      </c>
      <c r="AE170" s="160">
        <v>285</v>
      </c>
      <c r="AF170" s="160">
        <v>14</v>
      </c>
      <c r="AG170" s="160">
        <v>2.1</v>
      </c>
      <c r="AH170" s="303">
        <f t="shared" si="103"/>
        <v>0.76031235994911961</v>
      </c>
      <c r="AI170" s="86">
        <f t="shared" si="106"/>
        <v>3937.5695264860879</v>
      </c>
      <c r="AJ170" s="86"/>
      <c r="AK170" s="86"/>
      <c r="AL170" s="775"/>
      <c r="AM170" s="775"/>
      <c r="AN170" s="536"/>
      <c r="AP170" s="53"/>
      <c r="AQ170" s="108"/>
      <c r="AR170" s="108"/>
      <c r="AS170" s="724"/>
      <c r="AT170" s="724"/>
      <c r="AU170" s="724"/>
      <c r="AV170" s="634"/>
      <c r="AW170" s="108"/>
      <c r="AX170" s="725"/>
      <c r="AY170" s="53"/>
      <c r="AZ170" s="108"/>
      <c r="BA170" s="771"/>
      <c r="BB170" s="108"/>
      <c r="BC170" s="724"/>
      <c r="BD170" s="724"/>
      <c r="BE170" s="724"/>
      <c r="BF170" s="634"/>
      <c r="BG170" s="108"/>
      <c r="BH170" s="725"/>
      <c r="BI170" s="725"/>
      <c r="BJ170" s="725"/>
      <c r="BK170" s="725"/>
      <c r="BL170" s="634"/>
      <c r="BM170" s="724"/>
      <c r="BN170" s="475"/>
      <c r="BO170" s="475"/>
      <c r="BP170" s="10"/>
      <c r="BY170" s="14">
        <v>9.9860000000000007</v>
      </c>
    </row>
    <row r="171" spans="1:77" ht="15" customHeight="1" x14ac:dyDescent="0.2">
      <c r="A171" s="782" t="str">
        <f>'r-in'!A125</f>
        <v>060_U</v>
      </c>
      <c r="B171" s="707" t="s">
        <v>932</v>
      </c>
      <c r="C171" s="162">
        <f>'r-in'!P125</f>
        <v>1161.2694294719822</v>
      </c>
      <c r="D171" s="162">
        <f>'r-in'!Q125</f>
        <v>14.215285868180469</v>
      </c>
      <c r="E171" s="81">
        <f>'r-in'!R125</f>
        <v>608583.77367220016</v>
      </c>
      <c r="F171" s="162">
        <f>'r-in'!S125</f>
        <v>4.6162813748494527</v>
      </c>
      <c r="G171" s="81">
        <f>'r-in'!T125</f>
        <v>1330.2346006749628</v>
      </c>
      <c r="H171" s="162">
        <f>'r-in'!U125</f>
        <v>14.804155083039667</v>
      </c>
      <c r="I171" s="81">
        <f>'r-in'!V125</f>
        <v>1238.5404142105504</v>
      </c>
      <c r="J171" s="162">
        <f>'r-in'!W125</f>
        <v>10.248958951553037</v>
      </c>
      <c r="K171" s="81">
        <f>'r-in'!X125</f>
        <v>2720965.4100245838</v>
      </c>
      <c r="L171" s="162">
        <f>'r-in'!Y125</f>
        <v>4.8117508521531214</v>
      </c>
      <c r="M171" s="81">
        <f>'r-in'!Z125</f>
        <v>1605.4434619133251</v>
      </c>
      <c r="N171" s="162">
        <f>'r-in'!AA125</f>
        <v>15.338020698374034</v>
      </c>
      <c r="O171" s="81">
        <f>'r-in'!AB125</f>
        <v>571517.38307074632</v>
      </c>
      <c r="P171" s="162">
        <f>'r-in'!AC125</f>
        <v>4.9186548582507701</v>
      </c>
      <c r="Q171" s="81">
        <f>'r-in'!AD125</f>
        <v>2643879.4723385009</v>
      </c>
      <c r="R171" s="162">
        <f>'r-in'!AE125</f>
        <v>4.9511644089291389</v>
      </c>
      <c r="S171" s="157">
        <f>'r-in'!AF125</f>
        <v>4.6078872415601513</v>
      </c>
      <c r="T171" s="157">
        <f>'r-in'!AG125</f>
        <v>3.9281126168252953E-2</v>
      </c>
      <c r="U171" s="157">
        <f>'r-in'!AH125</f>
        <v>4.622499578497373</v>
      </c>
      <c r="V171" s="157">
        <f>'r-in'!AI125</f>
        <v>4.1676326620273325E-2</v>
      </c>
      <c r="W171" s="158">
        <v>60</v>
      </c>
      <c r="X171" s="764">
        <f t="shared" si="93"/>
        <v>0.88023654424165942</v>
      </c>
      <c r="Y171" s="387">
        <f t="shared" si="101"/>
        <v>4.0688930547350548</v>
      </c>
      <c r="Z171" s="640">
        <f t="shared" si="102"/>
        <v>3.9281126168252953E-2</v>
      </c>
      <c r="AA171" s="473">
        <f t="shared" si="104"/>
        <v>3.549896346048742</v>
      </c>
      <c r="AB171" s="478">
        <f t="shared" si="105"/>
        <v>0.39420570094494956</v>
      </c>
      <c r="AC171" s="108">
        <v>1</v>
      </c>
      <c r="AD171" s="159">
        <f t="shared" si="96"/>
        <v>7.1336235325154998E-2</v>
      </c>
      <c r="AE171" s="160">
        <v>285</v>
      </c>
      <c r="AF171" s="160">
        <v>14</v>
      </c>
      <c r="AG171" s="160">
        <v>2.1</v>
      </c>
      <c r="AH171" s="303">
        <f t="shared" si="103"/>
        <v>0.77494208891594962</v>
      </c>
      <c r="AI171" s="86">
        <f t="shared" si="106"/>
        <v>1646.821912487404</v>
      </c>
      <c r="AJ171" s="86"/>
      <c r="AK171" s="86"/>
      <c r="AL171" s="86"/>
      <c r="AM171" s="86"/>
      <c r="AN171" s="536"/>
      <c r="AP171" s="53"/>
      <c r="AQ171" s="108"/>
      <c r="AR171" s="110"/>
      <c r="AS171" s="724"/>
      <c r="AT171" s="750"/>
      <c r="AU171" s="750"/>
      <c r="AV171" s="751"/>
      <c r="AW171" s="108"/>
      <c r="AX171" s="724"/>
      <c r="AY171" s="53"/>
      <c r="AZ171" s="108"/>
      <c r="BA171" s="771"/>
      <c r="BB171" s="108"/>
      <c r="BC171" s="724"/>
      <c r="BD171" s="724"/>
      <c r="BE171" s="724"/>
      <c r="BF171" s="634"/>
      <c r="BG171" s="108"/>
      <c r="BH171" s="725"/>
      <c r="BI171" s="725"/>
      <c r="BJ171" s="725"/>
      <c r="BK171" s="725"/>
      <c r="BL171" s="725"/>
      <c r="BM171" s="725"/>
      <c r="BN171" s="475"/>
      <c r="BO171" s="475"/>
      <c r="BP171" s="475"/>
      <c r="BY171" s="14">
        <v>9.9860000000000007</v>
      </c>
    </row>
    <row r="172" spans="1:77" ht="15" customHeight="1" x14ac:dyDescent="0.2">
      <c r="A172" s="782" t="str">
        <f>'r-in'!A126</f>
        <v>061_U</v>
      </c>
      <c r="B172" s="707" t="s">
        <v>932</v>
      </c>
      <c r="C172" s="162">
        <f>'r-in'!P126</f>
        <v>1131.6880257561854</v>
      </c>
      <c r="D172" s="162">
        <f>'r-in'!Q126</f>
        <v>16.690553403856125</v>
      </c>
      <c r="E172" s="81">
        <f>'r-in'!R126</f>
        <v>567789.48640661431</v>
      </c>
      <c r="F172" s="162">
        <f>'r-in'!S126</f>
        <v>4.1500964475163826</v>
      </c>
      <c r="G172" s="81">
        <f>'r-in'!T126</f>
        <v>1237.7879410236155</v>
      </c>
      <c r="H172" s="162">
        <f>'r-in'!U126</f>
        <v>12.081798795265666</v>
      </c>
      <c r="I172" s="81">
        <f>'r-in'!V126</f>
        <v>1180.2095339168466</v>
      </c>
      <c r="J172" s="162">
        <f>'r-in'!W126</f>
        <v>10.529368731898174</v>
      </c>
      <c r="K172" s="81">
        <f>'r-in'!X126</f>
        <v>2528275.0700789439</v>
      </c>
      <c r="L172" s="162">
        <f>'r-in'!Y126</f>
        <v>4.3438158179204871</v>
      </c>
      <c r="M172" s="81">
        <f>'r-in'!Z126</f>
        <v>1671.1125888914239</v>
      </c>
      <c r="N172" s="162">
        <f>'r-in'!AA126</f>
        <v>13.767276969662404</v>
      </c>
      <c r="O172" s="81">
        <f>'r-in'!AB126</f>
        <v>531025.8851888763</v>
      </c>
      <c r="P172" s="162">
        <f>'r-in'!AC126</f>
        <v>4.4433821003787672</v>
      </c>
      <c r="Q172" s="81">
        <f>'r-in'!AD126</f>
        <v>2452246.1637013494</v>
      </c>
      <c r="R172" s="162">
        <f>'r-in'!AE126</f>
        <v>4.4792696473719626</v>
      </c>
      <c r="S172" s="157">
        <f>'r-in'!AF126</f>
        <v>4.5977700024190211</v>
      </c>
      <c r="T172" s="157">
        <f>'r-in'!AG126</f>
        <v>3.6585842718911417E-2</v>
      </c>
      <c r="U172" s="157">
        <f>'r-in'!AH126</f>
        <v>4.6150051333926889</v>
      </c>
      <c r="V172" s="157">
        <f>'r-in'!AI126</f>
        <v>4.5450113738024912E-2</v>
      </c>
      <c r="W172" s="158">
        <v>61</v>
      </c>
      <c r="X172" s="764">
        <f t="shared" si="93"/>
        <v>0.88024694877520249</v>
      </c>
      <c r="Y172" s="387">
        <f t="shared" si="101"/>
        <v>4.0623441872508108</v>
      </c>
      <c r="Z172" s="640">
        <f t="shared" si="102"/>
        <v>3.6585842718911417E-2</v>
      </c>
      <c r="AA172" s="473">
        <f t="shared" si="104"/>
        <v>1.9346867063290141</v>
      </c>
      <c r="AB172" s="478">
        <f t="shared" si="105"/>
        <v>0.36656624862474452</v>
      </c>
      <c r="AC172" s="108">
        <v>1</v>
      </c>
      <c r="AD172" s="159">
        <f t="shared" si="96"/>
        <v>7.1336235325154998E-2</v>
      </c>
      <c r="AE172" s="160">
        <v>285</v>
      </c>
      <c r="AF172" s="160">
        <v>14</v>
      </c>
      <c r="AG172" s="160">
        <v>2.1</v>
      </c>
      <c r="AH172" s="303">
        <f t="shared" si="103"/>
        <v>0.719916834247319</v>
      </c>
      <c r="AI172" s="86">
        <f t="shared" si="106"/>
        <v>1467.4332417830153</v>
      </c>
      <c r="AJ172" s="86"/>
      <c r="AK172" s="86"/>
      <c r="AL172" s="775"/>
      <c r="AM172" s="775"/>
      <c r="AN172" s="536"/>
      <c r="AP172" s="53"/>
      <c r="AQ172" s="108"/>
      <c r="AR172" s="108"/>
      <c r="AS172" s="724"/>
      <c r="AT172" s="724"/>
      <c r="AU172" s="724"/>
      <c r="AV172" s="634"/>
      <c r="AW172" s="108"/>
      <c r="AX172" s="725"/>
      <c r="AY172" s="53"/>
      <c r="AZ172" s="108"/>
      <c r="BA172" s="771"/>
      <c r="BB172" s="108"/>
      <c r="BC172" s="724"/>
      <c r="BD172" s="724"/>
      <c r="BE172" s="724"/>
      <c r="BF172" s="634"/>
      <c r="BG172" s="108"/>
      <c r="BH172" s="725"/>
      <c r="BI172" s="725"/>
      <c r="BJ172" s="725"/>
      <c r="BK172" s="725"/>
      <c r="BL172" s="634"/>
      <c r="BM172" s="724"/>
      <c r="BN172" s="475"/>
      <c r="BO172" s="475"/>
      <c r="BP172" s="10"/>
      <c r="BY172" s="14">
        <v>9.9860000000000007</v>
      </c>
    </row>
    <row r="173" spans="1:77" s="437" customFormat="1" ht="15" customHeight="1" x14ac:dyDescent="0.15">
      <c r="A173" s="783" t="str">
        <f>'r-in'!A127</f>
        <v>062_U</v>
      </c>
      <c r="B173" s="258" t="s">
        <v>933</v>
      </c>
      <c r="C173" s="567">
        <f>'r-in'!P127</f>
        <v>4266.1984141158391</v>
      </c>
      <c r="D173" s="567">
        <f>'r-in'!Q127</f>
        <v>5.2632157394837229</v>
      </c>
      <c r="E173" s="568">
        <f>'r-in'!R127</f>
        <v>413435.711967604</v>
      </c>
      <c r="F173" s="567">
        <f>'r-in'!S127</f>
        <v>13.402855911507146</v>
      </c>
      <c r="G173" s="568">
        <f>'r-in'!T127</f>
        <v>4260.8907845139465</v>
      </c>
      <c r="H173" s="567">
        <f>'r-in'!U127</f>
        <v>4.9186367410251508</v>
      </c>
      <c r="I173" s="568">
        <f>'r-in'!V127</f>
        <v>4263.7711342033808</v>
      </c>
      <c r="J173" s="567">
        <f>'r-in'!W127</f>
        <v>4.3854915016856966</v>
      </c>
      <c r="K173" s="568">
        <f>'r-in'!X127</f>
        <v>1789112.3246801787</v>
      </c>
      <c r="L173" s="567">
        <f>'r-in'!Y127</f>
        <v>14.297511296270832</v>
      </c>
      <c r="M173" s="568">
        <f>'r-in'!Z127</f>
        <v>4629.6989135751392</v>
      </c>
      <c r="N173" s="567">
        <f>'r-in'!AA127</f>
        <v>6.6705200187764255</v>
      </c>
      <c r="O173" s="568">
        <f>'r-in'!AB127</f>
        <v>373251.29564261186</v>
      </c>
      <c r="P173" s="567">
        <f>'r-in'!AC127</f>
        <v>14.807676645535485</v>
      </c>
      <c r="Q173" s="568">
        <f>'r-in'!AD127</f>
        <v>1709872.3555867202</v>
      </c>
      <c r="R173" s="567">
        <f>'r-in'!AE127</f>
        <v>14.949018564163012</v>
      </c>
      <c r="S173" s="588">
        <f>'r-in'!AF127</f>
        <v>4.4523429210455259</v>
      </c>
      <c r="T173" s="588">
        <f>'r-in'!AG127</f>
        <v>0.13061835865150936</v>
      </c>
      <c r="U173" s="588">
        <f>'r-in'!AH127</f>
        <v>4.5498548523561668</v>
      </c>
      <c r="V173" s="588">
        <f>'r-in'!AI127</f>
        <v>0.11539705063691916</v>
      </c>
      <c r="W173" s="569">
        <v>62</v>
      </c>
      <c r="X173" s="776">
        <f t="shared" si="93"/>
        <v>0.88025789324681791</v>
      </c>
      <c r="Y173" s="610">
        <f t="shared" si="101"/>
        <v>4.0050456469138513</v>
      </c>
      <c r="Z173" s="639">
        <f t="shared" si="102"/>
        <v>0.13061835865150936</v>
      </c>
      <c r="AA173" s="666">
        <f t="shared" si="104"/>
        <v>-12.197398714058117</v>
      </c>
      <c r="AB173" s="667">
        <f t="shared" si="105"/>
        <v>1.2902515445166731</v>
      </c>
      <c r="AC173" s="570">
        <v>1</v>
      </c>
      <c r="AD173" s="787">
        <f t="shared" si="96"/>
        <v>7.1336235325154998E-2</v>
      </c>
      <c r="AE173" s="571">
        <v>285</v>
      </c>
      <c r="AF173" s="571">
        <v>14</v>
      </c>
      <c r="AG173" s="571">
        <v>2.1</v>
      </c>
      <c r="AH173" s="572">
        <f t="shared" si="103"/>
        <v>0.50276536097348068</v>
      </c>
      <c r="AI173" s="742">
        <f t="shared" si="106"/>
        <v>369.32690170694599</v>
      </c>
      <c r="AJ173" s="742"/>
      <c r="AK173" s="742"/>
      <c r="AL173" s="788">
        <f>AGaverage(AA173:AA187)</f>
        <v>-11.865829202991884</v>
      </c>
      <c r="AM173" s="788">
        <f>STDEV(AA173:AA187)/(COUNT(AA173:AA187)-1)^0.5</f>
        <v>0.4686750370771513</v>
      </c>
      <c r="AN173" s="573"/>
      <c r="AP173" s="240"/>
      <c r="AQ173" s="570"/>
      <c r="AR173" s="241"/>
      <c r="AS173" s="723"/>
      <c r="AT173" s="777"/>
      <c r="AU173" s="777"/>
      <c r="AV173" s="778"/>
      <c r="AW173" s="570"/>
      <c r="AX173" s="723"/>
      <c r="AY173" s="240"/>
      <c r="AZ173" s="570"/>
      <c r="BA173" s="770"/>
      <c r="BB173" s="570"/>
      <c r="BC173" s="723"/>
      <c r="BD173" s="723"/>
      <c r="BE173" s="723"/>
      <c r="BF173" s="624"/>
      <c r="BG173" s="570"/>
      <c r="BH173" s="769"/>
      <c r="BI173" s="769"/>
      <c r="BJ173" s="769"/>
      <c r="BK173" s="769"/>
      <c r="BL173" s="769"/>
      <c r="BM173" s="769"/>
      <c r="BN173" s="574"/>
      <c r="BO173" s="574"/>
      <c r="BP173" s="574"/>
      <c r="BY173" s="437">
        <v>9.9860000000000007</v>
      </c>
    </row>
    <row r="174" spans="1:77" ht="15" customHeight="1" x14ac:dyDescent="0.15">
      <c r="A174" s="782" t="str">
        <f>'r-in'!A128</f>
        <v>063_U</v>
      </c>
      <c r="B174" s="258" t="s">
        <v>933</v>
      </c>
      <c r="C174" s="162">
        <f>'r-in'!P128</f>
        <v>2914.4095391954083</v>
      </c>
      <c r="D174" s="162">
        <f>'r-in'!Q128</f>
        <v>9.3123550638116459</v>
      </c>
      <c r="E174" s="81">
        <f>'r-in'!R128</f>
        <v>365144.55366718938</v>
      </c>
      <c r="F174" s="162">
        <f>'r-in'!S128</f>
        <v>9.6705581014003208</v>
      </c>
      <c r="G174" s="81">
        <f>'r-in'!T128</f>
        <v>3181.0848135121832</v>
      </c>
      <c r="H174" s="162">
        <f>'r-in'!U128</f>
        <v>8.4600130736264827</v>
      </c>
      <c r="I174" s="81">
        <f>'r-in'!V128</f>
        <v>3036.3652115104478</v>
      </c>
      <c r="J174" s="162">
        <f>'r-in'!W128</f>
        <v>7.8037585435444177</v>
      </c>
      <c r="K174" s="81">
        <f>'r-in'!X128</f>
        <v>1560438.4067527466</v>
      </c>
      <c r="L174" s="162">
        <f>'r-in'!Y128</f>
        <v>10.312197334490236</v>
      </c>
      <c r="M174" s="81">
        <f>'r-in'!Z128</f>
        <v>3155.2636300788467</v>
      </c>
      <c r="N174" s="162">
        <f>'r-in'!AA128</f>
        <v>11.299014745579221</v>
      </c>
      <c r="O174" s="81">
        <f>'r-in'!AB128</f>
        <v>324189.72277227946</v>
      </c>
      <c r="P174" s="162">
        <f>'r-in'!AC128</f>
        <v>10.831159670916573</v>
      </c>
      <c r="Q174" s="81">
        <f>'r-in'!AD128</f>
        <v>1477514.9109837189</v>
      </c>
      <c r="R174" s="162">
        <f>'r-in'!AE128</f>
        <v>10.872931621459342</v>
      </c>
      <c r="S174" s="157">
        <f>'r-in'!AF128</f>
        <v>4.5018724164333292</v>
      </c>
      <c r="T174" s="157">
        <f>'r-in'!AG128</f>
        <v>8.4103781028984581E-2</v>
      </c>
      <c r="U174" s="157">
        <f>'r-in'!AH128</f>
        <v>4.552243545175668</v>
      </c>
      <c r="V174" s="157">
        <f>'r-in'!AI128</f>
        <v>9.5511084093887894E-2</v>
      </c>
      <c r="W174" s="158">
        <v>63</v>
      </c>
      <c r="X174" s="764">
        <f t="shared" si="93"/>
        <v>0.88026936458448701</v>
      </c>
      <c r="Y174" s="387">
        <f t="shared" si="101"/>
        <v>4.0072005329456175</v>
      </c>
      <c r="Z174" s="640">
        <f t="shared" si="102"/>
        <v>8.4103781028984581E-2</v>
      </c>
      <c r="AA174" s="473">
        <f t="shared" si="104"/>
        <v>-11.665918622365879</v>
      </c>
      <c r="AB174" s="478">
        <f t="shared" si="105"/>
        <v>0.83122633163656801</v>
      </c>
      <c r="AC174" s="108">
        <v>1</v>
      </c>
      <c r="AD174" s="159">
        <f t="shared" si="96"/>
        <v>7.1336235325154998E-2</v>
      </c>
      <c r="AE174" s="160">
        <v>285</v>
      </c>
      <c r="AF174" s="160">
        <v>14</v>
      </c>
      <c r="AG174" s="160">
        <v>2.1</v>
      </c>
      <c r="AH174" s="303">
        <f t="shared" si="103"/>
        <v>0.43512063585253297</v>
      </c>
      <c r="AI174" s="86">
        <f t="shared" si="106"/>
        <v>468.26987669071485</v>
      </c>
      <c r="AJ174" s="86"/>
      <c r="AK174" s="86"/>
      <c r="AL174" s="775"/>
      <c r="AM174" s="775"/>
      <c r="AN174" s="536"/>
      <c r="AP174" s="53"/>
      <c r="AQ174" s="108"/>
      <c r="AR174" s="108"/>
      <c r="AS174" s="724"/>
      <c r="AT174" s="724"/>
      <c r="AU174" s="724"/>
      <c r="AV174" s="634"/>
      <c r="AW174" s="108"/>
      <c r="AX174" s="725"/>
      <c r="AY174" s="53"/>
      <c r="AZ174" s="108"/>
      <c r="BA174" s="771"/>
      <c r="BB174" s="108"/>
      <c r="BC174" s="724"/>
      <c r="BD174" s="724"/>
      <c r="BE174" s="724"/>
      <c r="BF174" s="634"/>
      <c r="BG174" s="108"/>
      <c r="BH174" s="725"/>
      <c r="BI174" s="725"/>
      <c r="BJ174" s="725"/>
      <c r="BK174" s="725"/>
      <c r="BL174" s="634"/>
      <c r="BM174" s="724"/>
      <c r="BN174" s="475"/>
      <c r="BO174" s="475"/>
      <c r="BP174" s="10"/>
      <c r="BY174" s="14">
        <v>9.9860000000000007</v>
      </c>
    </row>
    <row r="175" spans="1:77" ht="15" customHeight="1" x14ac:dyDescent="0.15">
      <c r="A175" s="782" t="str">
        <f>'r-in'!A129</f>
        <v>064_U</v>
      </c>
      <c r="B175" s="258" t="s">
        <v>933</v>
      </c>
      <c r="C175" s="162">
        <f>'r-in'!P129</f>
        <v>3385.0688160534587</v>
      </c>
      <c r="D175" s="162">
        <f>'r-in'!Q129</f>
        <v>7.9492376988944979</v>
      </c>
      <c r="E175" s="81">
        <f>'r-in'!R129</f>
        <v>393831.30435862218</v>
      </c>
      <c r="F175" s="162">
        <f>'r-in'!S129</f>
        <v>9.903062513761073</v>
      </c>
      <c r="G175" s="81">
        <f>'r-in'!T129</f>
        <v>3842.2345956844811</v>
      </c>
      <c r="H175" s="162">
        <f>'r-in'!U129</f>
        <v>7.3459985271002592</v>
      </c>
      <c r="I175" s="81">
        <f>'r-in'!V129</f>
        <v>3594.1394175825003</v>
      </c>
      <c r="J175" s="162">
        <f>'r-in'!W129</f>
        <v>6.8741473042928485</v>
      </c>
      <c r="K175" s="81">
        <f>'r-in'!X129</f>
        <v>1691745.5963845919</v>
      </c>
      <c r="L175" s="162">
        <f>'r-in'!Y129</f>
        <v>10.522797149181185</v>
      </c>
      <c r="M175" s="81">
        <f>'r-in'!Z129</f>
        <v>3533.1216364925763</v>
      </c>
      <c r="N175" s="162">
        <f>'r-in'!AA129</f>
        <v>9.0720979755557956</v>
      </c>
      <c r="O175" s="81">
        <f>'r-in'!AB129</f>
        <v>352530.38186308433</v>
      </c>
      <c r="P175" s="162">
        <f>'r-in'!AC129</f>
        <v>11.003660188457525</v>
      </c>
      <c r="Q175" s="81">
        <f>'r-in'!AD129</f>
        <v>1608493.5971355806</v>
      </c>
      <c r="R175" s="162">
        <f>'r-in'!AE129</f>
        <v>11.053859540770688</v>
      </c>
      <c r="S175" s="157">
        <f>'r-in'!AF129</f>
        <v>4.495345184036255</v>
      </c>
      <c r="T175" s="157">
        <f>'r-in'!AG129</f>
        <v>7.3310670692275731E-2</v>
      </c>
      <c r="U175" s="157">
        <f>'r-in'!AH129</f>
        <v>4.5567998046449594</v>
      </c>
      <c r="V175" s="157">
        <f>'r-in'!AI129</f>
        <v>8.046155950834874E-2</v>
      </c>
      <c r="W175" s="158">
        <v>64</v>
      </c>
      <c r="X175" s="764">
        <f t="shared" si="93"/>
        <v>0.88028134983392747</v>
      </c>
      <c r="Y175" s="387">
        <f t="shared" si="101"/>
        <v>4.0112658829558416</v>
      </c>
      <c r="Z175" s="640">
        <f t="shared" si="102"/>
        <v>7.3310670692275731E-2</v>
      </c>
      <c r="AA175" s="473">
        <f t="shared" si="104"/>
        <v>-10.663242580875142</v>
      </c>
      <c r="AB175" s="478">
        <f t="shared" si="105"/>
        <v>0.72528941226912735</v>
      </c>
      <c r="AC175" s="108">
        <v>1</v>
      </c>
      <c r="AD175" s="159">
        <f t="shared" si="96"/>
        <v>7.1336235325154998E-2</v>
      </c>
      <c r="AE175" s="160">
        <v>285</v>
      </c>
      <c r="AF175" s="160">
        <v>14</v>
      </c>
      <c r="AG175" s="160">
        <v>2.1</v>
      </c>
      <c r="AH175" s="303">
        <f t="shared" si="103"/>
        <v>0.47442338587265681</v>
      </c>
      <c r="AI175" s="86">
        <f t="shared" si="106"/>
        <v>455.26131354265374</v>
      </c>
      <c r="AJ175" s="86"/>
      <c r="AK175" s="86"/>
      <c r="AL175" s="86"/>
      <c r="AM175" s="86"/>
      <c r="AN175" s="536"/>
      <c r="AP175" s="53"/>
      <c r="AQ175" s="108"/>
      <c r="AR175" s="110"/>
      <c r="AS175" s="724"/>
      <c r="AT175" s="750"/>
      <c r="AU175" s="750"/>
      <c r="AV175" s="751"/>
      <c r="AW175" s="108"/>
      <c r="AX175" s="724"/>
      <c r="AY175" s="53"/>
      <c r="AZ175" s="108"/>
      <c r="BA175" s="771"/>
      <c r="BB175" s="108"/>
      <c r="BC175" s="724"/>
      <c r="BD175" s="724"/>
      <c r="BE175" s="724"/>
      <c r="BF175" s="634"/>
      <c r="BG175" s="108"/>
      <c r="BH175" s="725"/>
      <c r="BI175" s="725"/>
      <c r="BJ175" s="725"/>
      <c r="BK175" s="725"/>
      <c r="BL175" s="725"/>
      <c r="BM175" s="725"/>
      <c r="BN175" s="475"/>
      <c r="BO175" s="475"/>
      <c r="BP175" s="475"/>
      <c r="BY175" s="14">
        <v>9.9860000000000007</v>
      </c>
    </row>
    <row r="176" spans="1:77" ht="15" customHeight="1" x14ac:dyDescent="0.15">
      <c r="A176" s="782" t="str">
        <f>'r-in'!A130</f>
        <v>065_U</v>
      </c>
      <c r="B176" s="258" t="s">
        <v>933</v>
      </c>
      <c r="C176" s="162">
        <f>'r-in'!P130</f>
        <v>3649.3860372254085</v>
      </c>
      <c r="D176" s="162">
        <f>'r-in'!Q130</f>
        <v>5.6089279838038539</v>
      </c>
      <c r="E176" s="81">
        <f>'r-in'!R130</f>
        <v>295192.07566863624</v>
      </c>
      <c r="F176" s="162">
        <f>'r-in'!S130</f>
        <v>8.4648832721619662</v>
      </c>
      <c r="G176" s="81">
        <f>'r-in'!T130</f>
        <v>3883.140258632814</v>
      </c>
      <c r="H176" s="162">
        <f>'r-in'!U130</f>
        <v>5.6987063356569054</v>
      </c>
      <c r="I176" s="81">
        <f>'r-in'!V130</f>
        <v>3756.2862862314546</v>
      </c>
      <c r="J176" s="162">
        <f>'r-in'!W130</f>
        <v>4.8761187330431817</v>
      </c>
      <c r="K176" s="81">
        <f>'r-in'!X130</f>
        <v>1241507.825614068</v>
      </c>
      <c r="L176" s="162">
        <f>'r-in'!Y130</f>
        <v>9.1987831527606918</v>
      </c>
      <c r="M176" s="81">
        <f>'r-in'!Z130</f>
        <v>4471.4025945912081</v>
      </c>
      <c r="N176" s="162">
        <f>'r-in'!AA130</f>
        <v>6.5048064932326</v>
      </c>
      <c r="O176" s="81">
        <f>'r-in'!AB130</f>
        <v>253710.77436007324</v>
      </c>
      <c r="P176" s="162">
        <f>'r-in'!AC130</f>
        <v>9.7949941063239105</v>
      </c>
      <c r="Q176" s="81">
        <f>'r-in'!AD130</f>
        <v>1157029.5199553436</v>
      </c>
      <c r="R176" s="162">
        <f>'r-in'!AE130</f>
        <v>9.8515125043025993</v>
      </c>
      <c r="S176" s="157">
        <f>'r-in'!AF130</f>
        <v>4.4643918386602781</v>
      </c>
      <c r="T176" s="157">
        <f>'r-in'!AG130</f>
        <v>0.11903664635834338</v>
      </c>
      <c r="U176" s="157">
        <f>'r-in'!AH130</f>
        <v>4.5536550795805057</v>
      </c>
      <c r="V176" s="157">
        <f>'r-in'!AI130</f>
        <v>0.13294439432888494</v>
      </c>
      <c r="W176" s="158">
        <v>65</v>
      </c>
      <c r="X176" s="764">
        <f t="shared" si="93"/>
        <v>0.88029383615845758</v>
      </c>
      <c r="Y176" s="387">
        <f t="shared" si="101"/>
        <v>4.0085544985463697</v>
      </c>
      <c r="Z176" s="640">
        <f t="shared" si="102"/>
        <v>0.11903664635834338</v>
      </c>
      <c r="AA176" s="473">
        <f t="shared" si="104"/>
        <v>-11.33197717440626</v>
      </c>
      <c r="AB176" s="478">
        <f t="shared" si="105"/>
        <v>1.176877257989096</v>
      </c>
      <c r="AC176" s="108">
        <v>1</v>
      </c>
      <c r="AD176" s="159">
        <f t="shared" si="96"/>
        <v>7.1336235325154998E-2</v>
      </c>
      <c r="AE176" s="160">
        <v>285</v>
      </c>
      <c r="AF176" s="160">
        <v>14</v>
      </c>
      <c r="AG176" s="160">
        <v>2.1</v>
      </c>
      <c r="AH176" s="303">
        <f t="shared" si="103"/>
        <v>0.34178497414075643</v>
      </c>
      <c r="AI176" s="86">
        <f t="shared" si="106"/>
        <v>258.7620987998115</v>
      </c>
      <c r="AJ176" s="86"/>
      <c r="AK176" s="86"/>
      <c r="AL176" s="775"/>
      <c r="AM176" s="775"/>
      <c r="AN176" s="536"/>
      <c r="AP176" s="53"/>
      <c r="AQ176" s="108"/>
      <c r="AR176" s="108"/>
      <c r="AS176" s="724"/>
      <c r="AT176" s="724"/>
      <c r="AU176" s="724"/>
      <c r="AV176" s="634"/>
      <c r="AW176" s="108"/>
      <c r="AX176" s="725"/>
      <c r="AY176" s="53"/>
      <c r="AZ176" s="108"/>
      <c r="BA176" s="771"/>
      <c r="BB176" s="108"/>
      <c r="BC176" s="724"/>
      <c r="BD176" s="724"/>
      <c r="BE176" s="724"/>
      <c r="BF176" s="634"/>
      <c r="BG176" s="108"/>
      <c r="BH176" s="725"/>
      <c r="BI176" s="725"/>
      <c r="BJ176" s="725"/>
      <c r="BK176" s="725"/>
      <c r="BL176" s="634"/>
      <c r="BM176" s="724"/>
      <c r="BN176" s="475"/>
      <c r="BO176" s="475"/>
      <c r="BP176" s="10"/>
      <c r="BY176" s="14">
        <v>9.9860000000000007</v>
      </c>
    </row>
    <row r="177" spans="1:77" ht="15" customHeight="1" x14ac:dyDescent="0.15">
      <c r="A177" s="782" t="str">
        <f>'r-in'!A131</f>
        <v>066_U</v>
      </c>
      <c r="B177" s="258" t="s">
        <v>933</v>
      </c>
      <c r="C177" s="162">
        <f>'r-in'!P131</f>
        <v>2749.1827270045155</v>
      </c>
      <c r="D177" s="162">
        <f>'r-in'!Q131</f>
        <v>10.24861393509466</v>
      </c>
      <c r="E177" s="81">
        <f>'r-in'!R131</f>
        <v>345199.29540583305</v>
      </c>
      <c r="F177" s="162">
        <f>'r-in'!S131</f>
        <v>10.619545754824445</v>
      </c>
      <c r="G177" s="81">
        <f>'r-in'!T131</f>
        <v>3291.6728843150568</v>
      </c>
      <c r="H177" s="162">
        <f>'r-in'!U131</f>
        <v>8.4974633982454364</v>
      </c>
      <c r="I177" s="81">
        <f>'r-in'!V131</f>
        <v>2997.273788422187</v>
      </c>
      <c r="J177" s="162">
        <f>'r-in'!W131</f>
        <v>8.1966678861091093</v>
      </c>
      <c r="K177" s="81">
        <f>'r-in'!X131</f>
        <v>1472906.0366272931</v>
      </c>
      <c r="L177" s="162">
        <f>'r-in'!Y131</f>
        <v>11.403235113561982</v>
      </c>
      <c r="M177" s="81">
        <f>'r-in'!Z131</f>
        <v>3103.3403101067688</v>
      </c>
      <c r="N177" s="162">
        <f>'r-in'!AA131</f>
        <v>10.802714856288691</v>
      </c>
      <c r="O177" s="81">
        <f>'r-in'!AB131</f>
        <v>303965.50745844137</v>
      </c>
      <c r="P177" s="162">
        <f>'r-in'!AC131</f>
        <v>11.991616604148605</v>
      </c>
      <c r="Q177" s="81">
        <f>'r-in'!AD131</f>
        <v>1388023.2115454457</v>
      </c>
      <c r="R177" s="162">
        <f>'r-in'!AE131</f>
        <v>12.084910267315724</v>
      </c>
      <c r="S177" s="157">
        <f>'r-in'!AF131</f>
        <v>4.4994722658325719</v>
      </c>
      <c r="T177" s="157">
        <f>'r-in'!AG131</f>
        <v>0.11062316224121516</v>
      </c>
      <c r="U177" s="157">
        <f>'r-in'!AH131</f>
        <v>4.5519738113386117</v>
      </c>
      <c r="V177" s="157">
        <f>'r-in'!AI131</f>
        <v>0.12466096796636815</v>
      </c>
      <c r="W177" s="158">
        <v>66</v>
      </c>
      <c r="X177" s="764">
        <f t="shared" si="93"/>
        <v>0.8803068108388622</v>
      </c>
      <c r="Y177" s="387">
        <f t="shared" si="101"/>
        <v>4.0071335488815141</v>
      </c>
      <c r="Z177" s="640">
        <f t="shared" si="102"/>
        <v>0.11062316224121516</v>
      </c>
      <c r="AA177" s="473">
        <f t="shared" si="104"/>
        <v>-11.682439540876999</v>
      </c>
      <c r="AB177" s="478">
        <f t="shared" si="105"/>
        <v>1.0933081383651668</v>
      </c>
      <c r="AC177" s="108">
        <v>1</v>
      </c>
      <c r="AD177" s="159">
        <f t="shared" si="96"/>
        <v>7.1336235325154998E-2</v>
      </c>
      <c r="AE177" s="160">
        <v>285</v>
      </c>
      <c r="AF177" s="160">
        <v>14</v>
      </c>
      <c r="AG177" s="160">
        <v>2.1</v>
      </c>
      <c r="AH177" s="303">
        <f t="shared" si="103"/>
        <v>0.41063871905296284</v>
      </c>
      <c r="AI177" s="86">
        <f t="shared" si="106"/>
        <v>447.26748369330193</v>
      </c>
      <c r="AJ177" s="86"/>
      <c r="AK177" s="86"/>
      <c r="AL177" s="86"/>
      <c r="AM177" s="86"/>
      <c r="AN177" s="536"/>
      <c r="AP177" s="53"/>
      <c r="AQ177" s="108"/>
      <c r="AR177" s="110"/>
      <c r="AS177" s="724"/>
      <c r="AT177" s="750"/>
      <c r="AU177" s="750"/>
      <c r="AV177" s="751"/>
      <c r="AW177" s="108"/>
      <c r="AX177" s="724"/>
      <c r="AY177" s="53"/>
      <c r="AZ177" s="108"/>
      <c r="BA177" s="771"/>
      <c r="BB177" s="108"/>
      <c r="BC177" s="724"/>
      <c r="BD177" s="724"/>
      <c r="BE177" s="724"/>
      <c r="BF177" s="634"/>
      <c r="BG177" s="108"/>
      <c r="BH177" s="725"/>
      <c r="BI177" s="725"/>
      <c r="BJ177" s="725"/>
      <c r="BK177" s="725"/>
      <c r="BL177" s="725"/>
      <c r="BM177" s="725"/>
      <c r="BN177" s="475"/>
      <c r="BO177" s="475"/>
      <c r="BP177" s="475"/>
      <c r="BY177" s="14">
        <v>9.9860000000000007</v>
      </c>
    </row>
    <row r="178" spans="1:77" ht="15" customHeight="1" x14ac:dyDescent="0.15">
      <c r="A178" s="782" t="str">
        <f>'r-in'!A132</f>
        <v>067_U</v>
      </c>
      <c r="B178" s="258" t="s">
        <v>933</v>
      </c>
      <c r="C178" s="162">
        <f>'r-in'!P132</f>
        <v>2525.5080880633022</v>
      </c>
      <c r="D178" s="162">
        <f>'r-in'!Q132</f>
        <v>9.1735848809695959</v>
      </c>
      <c r="E178" s="81">
        <f>'r-in'!R132</f>
        <v>330005.92358911753</v>
      </c>
      <c r="F178" s="162">
        <f>'r-in'!S132</f>
        <v>10.415679324825016</v>
      </c>
      <c r="G178" s="81">
        <f>'r-in'!T132</f>
        <v>2819.7338257873685</v>
      </c>
      <c r="H178" s="162">
        <f>'r-in'!U132</f>
        <v>8.7280988301787872</v>
      </c>
      <c r="I178" s="81">
        <f>'r-in'!V132</f>
        <v>2660.0631110156846</v>
      </c>
      <c r="J178" s="162">
        <f>'r-in'!W132</f>
        <v>7.9506594859763755</v>
      </c>
      <c r="K178" s="81">
        <f>'r-in'!X132</f>
        <v>1405644.5283919568</v>
      </c>
      <c r="L178" s="162">
        <f>'r-in'!Y132</f>
        <v>11.217594427463473</v>
      </c>
      <c r="M178" s="81">
        <f>'r-in'!Z132</f>
        <v>2581.0918106194245</v>
      </c>
      <c r="N178" s="162">
        <f>'r-in'!AA132</f>
        <v>11.332935356029896</v>
      </c>
      <c r="O178" s="81">
        <f>'r-in'!AB132</f>
        <v>288892.42733570689</v>
      </c>
      <c r="P178" s="162">
        <f>'r-in'!AC132</f>
        <v>11.839831129382482</v>
      </c>
      <c r="Q178" s="81">
        <f>'r-in'!AD132</f>
        <v>1320979.5395952549</v>
      </c>
      <c r="R178" s="162">
        <f>'r-in'!AE132</f>
        <v>11.923163925331924</v>
      </c>
      <c r="S178" s="157">
        <f>'r-in'!AF132</f>
        <v>4.5080251294974829</v>
      </c>
      <c r="T178" s="157">
        <f>'r-in'!AG132</f>
        <v>0.10302372112389827</v>
      </c>
      <c r="U178" s="157">
        <f>'r-in'!AH132</f>
        <v>4.5589847041623379</v>
      </c>
      <c r="V178" s="157">
        <f>'r-in'!AI132</f>
        <v>9.8768109844674309E-2</v>
      </c>
      <c r="W178" s="158">
        <v>67</v>
      </c>
      <c r="X178" s="764">
        <f t="shared" si="93"/>
        <v>0.88032026127326723</v>
      </c>
      <c r="Y178" s="387">
        <f t="shared" si="101"/>
        <v>4.0133666059090185</v>
      </c>
      <c r="Z178" s="640">
        <f t="shared" si="102"/>
        <v>0.10302372112389827</v>
      </c>
      <c r="AA178" s="473">
        <f t="shared" si="104"/>
        <v>-10.145121245771715</v>
      </c>
      <c r="AB178" s="478">
        <f t="shared" si="105"/>
        <v>1.0197853298189443</v>
      </c>
      <c r="AC178" s="108">
        <v>1</v>
      </c>
      <c r="AD178" s="159">
        <f t="shared" si="96"/>
        <v>7.1336235325154998E-2</v>
      </c>
      <c r="AE178" s="160">
        <v>285</v>
      </c>
      <c r="AF178" s="160">
        <v>14</v>
      </c>
      <c r="AG178" s="160">
        <v>2.1</v>
      </c>
      <c r="AH178" s="303">
        <f t="shared" si="103"/>
        <v>0.39138736795409318</v>
      </c>
      <c r="AI178" s="86">
        <f t="shared" si="106"/>
        <v>511.79099254057104</v>
      </c>
      <c r="AJ178" s="86"/>
      <c r="AK178" s="86"/>
      <c r="AL178" s="775"/>
      <c r="AM178" s="775"/>
      <c r="AN178" s="536"/>
      <c r="AP178" s="53"/>
      <c r="AQ178" s="108"/>
      <c r="AR178" s="108"/>
      <c r="AS178" s="724"/>
      <c r="AT178" s="724"/>
      <c r="AU178" s="724"/>
      <c r="AV178" s="634"/>
      <c r="AW178" s="108"/>
      <c r="AX178" s="725"/>
      <c r="AY178" s="53"/>
      <c r="AZ178" s="108"/>
      <c r="BA178" s="771"/>
      <c r="BB178" s="108"/>
      <c r="BC178" s="724"/>
      <c r="BD178" s="724"/>
      <c r="BE178" s="724"/>
      <c r="BF178" s="634"/>
      <c r="BG178" s="108"/>
      <c r="BH178" s="725"/>
      <c r="BI178" s="725"/>
      <c r="BJ178" s="725"/>
      <c r="BK178" s="725"/>
      <c r="BL178" s="634"/>
      <c r="BM178" s="724"/>
      <c r="BN178" s="475"/>
      <c r="BO178" s="475"/>
      <c r="BP178" s="10"/>
      <c r="BY178" s="14">
        <v>9.9860000000000007</v>
      </c>
    </row>
    <row r="179" spans="1:77" ht="15" customHeight="1" x14ac:dyDescent="0.15">
      <c r="A179" s="782" t="str">
        <f>'r-in'!A133</f>
        <v>068_U</v>
      </c>
      <c r="B179" s="258" t="s">
        <v>933</v>
      </c>
      <c r="C179" s="162">
        <f>'r-in'!P133</f>
        <v>3229.1880641514708</v>
      </c>
      <c r="D179" s="162">
        <f>'r-in'!Q133</f>
        <v>8.6769169058838216</v>
      </c>
      <c r="E179" s="81">
        <f>'r-in'!R133</f>
        <v>389943.67470406019</v>
      </c>
      <c r="F179" s="162">
        <f>'r-in'!S133</f>
        <v>11.492782673677713</v>
      </c>
      <c r="G179" s="81">
        <f>'r-in'!T133</f>
        <v>3540.6456872595531</v>
      </c>
      <c r="H179" s="162">
        <f>'r-in'!U133</f>
        <v>6.6312203748322833</v>
      </c>
      <c r="I179" s="81">
        <f>'r-in'!V133</f>
        <v>3371.6235558599005</v>
      </c>
      <c r="J179" s="162">
        <f>'r-in'!W133</f>
        <v>6.858775073136961</v>
      </c>
      <c r="K179" s="81">
        <f>'r-in'!X133</f>
        <v>1674263.0125074075</v>
      </c>
      <c r="L179" s="162">
        <f>'r-in'!Y133</f>
        <v>12.245509325558729</v>
      </c>
      <c r="M179" s="81">
        <f>'r-in'!Z133</f>
        <v>3160.1447662641649</v>
      </c>
      <c r="N179" s="162">
        <f>'r-in'!AA133</f>
        <v>8.3556160683462668</v>
      </c>
      <c r="O179" s="81">
        <f>'r-in'!AB133</f>
        <v>348605.4967628764</v>
      </c>
      <c r="P179" s="162">
        <f>'r-in'!AC133</f>
        <v>12.800853354283285</v>
      </c>
      <c r="Q179" s="81">
        <f>'r-in'!AD133</f>
        <v>1590534.9614991401</v>
      </c>
      <c r="R179" s="162">
        <f>'r-in'!AE133</f>
        <v>12.880431701163785</v>
      </c>
      <c r="S179" s="157">
        <f>'r-in'!AF133</f>
        <v>4.4866157633701764</v>
      </c>
      <c r="T179" s="157">
        <f>'r-in'!AG133</f>
        <v>0.10081731851479746</v>
      </c>
      <c r="U179" s="157">
        <f>'r-in'!AH133</f>
        <v>4.5510735902439512</v>
      </c>
      <c r="V179" s="157">
        <f>'r-in'!AI133</f>
        <v>8.0616164772597476E-2</v>
      </c>
      <c r="W179" s="158">
        <v>68</v>
      </c>
      <c r="X179" s="764">
        <f t="shared" si="93"/>
        <v>0.88033417497701805</v>
      </c>
      <c r="Y179" s="387">
        <f t="shared" si="101"/>
        <v>4.0064656143271042</v>
      </c>
      <c r="Z179" s="640">
        <f t="shared" si="102"/>
        <v>0.10081731851479746</v>
      </c>
      <c r="AA179" s="473">
        <f t="shared" si="104"/>
        <v>-11.847178609667219</v>
      </c>
      <c r="AB179" s="478">
        <f t="shared" si="105"/>
        <v>0.99622917735409011</v>
      </c>
      <c r="AC179" s="108">
        <v>1</v>
      </c>
      <c r="AD179" s="159">
        <f t="shared" si="96"/>
        <v>7.1336235325154998E-2</v>
      </c>
      <c r="AE179" s="160">
        <v>285</v>
      </c>
      <c r="AF179" s="160">
        <v>14</v>
      </c>
      <c r="AG179" s="160">
        <v>2.1</v>
      </c>
      <c r="AH179" s="303">
        <f t="shared" si="103"/>
        <v>0.4719482960846812</v>
      </c>
      <c r="AI179" s="86">
        <f t="shared" si="106"/>
        <v>503.31079084690992</v>
      </c>
      <c r="AJ179" s="86"/>
      <c r="AK179" s="86"/>
      <c r="AL179" s="86"/>
      <c r="AM179" s="86"/>
      <c r="AN179" s="536"/>
      <c r="AP179" s="53"/>
      <c r="AQ179" s="108"/>
      <c r="AR179" s="110"/>
      <c r="AS179" s="724"/>
      <c r="AT179" s="750"/>
      <c r="AU179" s="750"/>
      <c r="AV179" s="751"/>
      <c r="AW179" s="108"/>
      <c r="AX179" s="724"/>
      <c r="AY179" s="53"/>
      <c r="AZ179" s="108"/>
      <c r="BA179" s="771"/>
      <c r="BB179" s="108"/>
      <c r="BC179" s="724"/>
      <c r="BD179" s="724"/>
      <c r="BE179" s="724"/>
      <c r="BF179" s="634"/>
      <c r="BG179" s="108"/>
      <c r="BH179" s="725"/>
      <c r="BI179" s="725"/>
      <c r="BJ179" s="725"/>
      <c r="BK179" s="725"/>
      <c r="BL179" s="725"/>
      <c r="BM179" s="725"/>
      <c r="BN179" s="475"/>
      <c r="BO179" s="475"/>
      <c r="BP179" s="475"/>
      <c r="BY179" s="14">
        <v>9.9860000000000007</v>
      </c>
    </row>
    <row r="180" spans="1:77" ht="15" customHeight="1" x14ac:dyDescent="0.15">
      <c r="A180" s="782" t="str">
        <f>'r-in'!A134</f>
        <v>069_U</v>
      </c>
      <c r="B180" s="258" t="s">
        <v>933</v>
      </c>
      <c r="C180" s="162">
        <f>'r-in'!P134</f>
        <v>2965.8689384507361</v>
      </c>
      <c r="D180" s="162">
        <f>'r-in'!Q134</f>
        <v>8.4252831156045556</v>
      </c>
      <c r="E180" s="81">
        <f>'r-in'!R134</f>
        <v>370629.04092870658</v>
      </c>
      <c r="F180" s="162">
        <f>'r-in'!S134</f>
        <v>10.763270049010838</v>
      </c>
      <c r="G180" s="81">
        <f>'r-in'!T134</f>
        <v>3312.3079635203394</v>
      </c>
      <c r="H180" s="162">
        <f>'r-in'!U134</f>
        <v>7.8121328311209064</v>
      </c>
      <c r="I180" s="81">
        <f>'r-in'!V134</f>
        <v>3124.3020902559638</v>
      </c>
      <c r="J180" s="162">
        <f>'r-in'!W134</f>
        <v>7.026981097535538</v>
      </c>
      <c r="K180" s="81">
        <f>'r-in'!X134</f>
        <v>1588789.6370532103</v>
      </c>
      <c r="L180" s="162">
        <f>'r-in'!Y134</f>
        <v>11.510672483143242</v>
      </c>
      <c r="M180" s="81">
        <f>'r-in'!Z134</f>
        <v>3713.3135304129046</v>
      </c>
      <c r="N180" s="162">
        <f>'r-in'!AA134</f>
        <v>7.4842904936360481</v>
      </c>
      <c r="O180" s="81">
        <f>'r-in'!AB134</f>
        <v>329482.92207941774</v>
      </c>
      <c r="P180" s="162">
        <f>'r-in'!AC134</f>
        <v>12.052492224394147</v>
      </c>
      <c r="Q180" s="81">
        <f>'r-in'!AD134</f>
        <v>1504045.3014110345</v>
      </c>
      <c r="R180" s="162">
        <f>'r-in'!AE134</f>
        <v>12.151769301183071</v>
      </c>
      <c r="S180" s="157">
        <f>'r-in'!AF134</f>
        <v>4.4914108107401063</v>
      </c>
      <c r="T180" s="157">
        <f>'r-in'!AG134</f>
        <v>0.10373207199109562</v>
      </c>
      <c r="U180" s="157">
        <f>'r-in'!AH134</f>
        <v>4.5480022803499347</v>
      </c>
      <c r="V180" s="157">
        <f>'r-in'!AI134</f>
        <v>9.9618949865060091E-2</v>
      </c>
      <c r="W180" s="158">
        <v>69</v>
      </c>
      <c r="X180" s="764">
        <f t="shared" si="93"/>
        <v>0.88034853958256498</v>
      </c>
      <c r="Y180" s="387">
        <f t="shared" si="101"/>
        <v>4.0038271655242399</v>
      </c>
      <c r="Z180" s="640">
        <f t="shared" si="102"/>
        <v>0.10373207199109562</v>
      </c>
      <c r="AA180" s="473">
        <f t="shared" si="104"/>
        <v>-12.497924399003546</v>
      </c>
      <c r="AB180" s="478">
        <f t="shared" si="105"/>
        <v>1.02435636397602</v>
      </c>
      <c r="AC180" s="108">
        <v>1</v>
      </c>
      <c r="AD180" s="159">
        <f t="shared" si="96"/>
        <v>7.1336235325154998E-2</v>
      </c>
      <c r="AE180" s="160">
        <v>285</v>
      </c>
      <c r="AF180" s="160">
        <v>14</v>
      </c>
      <c r="AG180" s="160">
        <v>2.1</v>
      </c>
      <c r="AH180" s="303">
        <f t="shared" si="103"/>
        <v>0.44693626052695989</v>
      </c>
      <c r="AI180" s="86">
        <f t="shared" si="106"/>
        <v>405.04128969788098</v>
      </c>
      <c r="AJ180" s="86"/>
      <c r="AK180" s="86"/>
      <c r="AL180" s="775"/>
      <c r="AM180" s="775"/>
      <c r="AN180" s="536"/>
      <c r="AP180" s="53"/>
      <c r="AQ180" s="108"/>
      <c r="AR180" s="108"/>
      <c r="AS180" s="724"/>
      <c r="AT180" s="724"/>
      <c r="AU180" s="724"/>
      <c r="AV180" s="634"/>
      <c r="AW180" s="108"/>
      <c r="AX180" s="725"/>
      <c r="AY180" s="53"/>
      <c r="AZ180" s="108"/>
      <c r="BA180" s="771"/>
      <c r="BB180" s="108"/>
      <c r="BC180" s="724"/>
      <c r="BD180" s="724"/>
      <c r="BE180" s="724"/>
      <c r="BF180" s="634"/>
      <c r="BG180" s="108"/>
      <c r="BH180" s="725"/>
      <c r="BI180" s="725"/>
      <c r="BJ180" s="725"/>
      <c r="BK180" s="725"/>
      <c r="BL180" s="634"/>
      <c r="BM180" s="724"/>
      <c r="BN180" s="475"/>
      <c r="BO180" s="475"/>
      <c r="BP180" s="10"/>
      <c r="BY180" s="14">
        <v>9.9860000000000007</v>
      </c>
    </row>
    <row r="181" spans="1:77" ht="15" customHeight="1" x14ac:dyDescent="0.15">
      <c r="A181" s="782" t="str">
        <f>'r-in'!A135</f>
        <v>070_U</v>
      </c>
      <c r="B181" s="258" t="s">
        <v>933</v>
      </c>
      <c r="C181" s="162">
        <f>'r-in'!P135</f>
        <v>2605.3250139607958</v>
      </c>
      <c r="D181" s="162">
        <f>'r-in'!Q135</f>
        <v>7.8611786475585657</v>
      </c>
      <c r="E181" s="81">
        <f>'r-in'!R135</f>
        <v>268126.16827454558</v>
      </c>
      <c r="F181" s="162">
        <f>'r-in'!S135</f>
        <v>9.3970008305308532</v>
      </c>
      <c r="G181" s="81">
        <f>'r-in'!T135</f>
        <v>2707.1044021289363</v>
      </c>
      <c r="H181" s="162">
        <f>'r-in'!U135</f>
        <v>7.1245261009443839</v>
      </c>
      <c r="I181" s="81">
        <f>'r-in'!V135</f>
        <v>2651.8706629477888</v>
      </c>
      <c r="J181" s="162">
        <f>'r-in'!W135</f>
        <v>6.4607880123447332</v>
      </c>
      <c r="K181" s="81">
        <f>'r-in'!X135</f>
        <v>1122313.1411450764</v>
      </c>
      <c r="L181" s="162">
        <f>'r-in'!Y135</f>
        <v>10.250126807951437</v>
      </c>
      <c r="M181" s="81">
        <f>'r-in'!Z135</f>
        <v>2751.3848130184697</v>
      </c>
      <c r="N181" s="162">
        <f>'r-in'!AA135</f>
        <v>9.8723557858205844</v>
      </c>
      <c r="O181" s="81">
        <f>'r-in'!AB135</f>
        <v>227450.68232942143</v>
      </c>
      <c r="P181" s="162">
        <f>'r-in'!AC135</f>
        <v>11.022598967924157</v>
      </c>
      <c r="Q181" s="81">
        <f>'r-in'!AD135</f>
        <v>1038517.3738652604</v>
      </c>
      <c r="R181" s="162">
        <f>'r-in'!AE135</f>
        <v>11.065918018092237</v>
      </c>
      <c r="S181" s="157">
        <f>'r-in'!AF135</f>
        <v>4.4990217624910294</v>
      </c>
      <c r="T181" s="157">
        <f>'r-in'!AG135</f>
        <v>0.11203516338928357</v>
      </c>
      <c r="U181" s="157">
        <f>'r-in'!AH135</f>
        <v>4.5633233782112086</v>
      </c>
      <c r="V181" s="157">
        <f>'r-in'!AI135</f>
        <v>0.11041483127367878</v>
      </c>
      <c r="W181" s="158">
        <v>70</v>
      </c>
      <c r="X181" s="764">
        <f t="shared" si="93"/>
        <v>0.88036334283935158</v>
      </c>
      <c r="Y181" s="387">
        <f t="shared" si="101"/>
        <v>4.0173826236989827</v>
      </c>
      <c r="Z181" s="640">
        <f t="shared" si="102"/>
        <v>0.11203516338928357</v>
      </c>
      <c r="AA181" s="473">
        <f t="shared" si="104"/>
        <v>-9.1546124802114335</v>
      </c>
      <c r="AB181" s="478">
        <f t="shared" si="105"/>
        <v>1.1100952488430895</v>
      </c>
      <c r="AC181" s="108">
        <v>1</v>
      </c>
      <c r="AD181" s="159">
        <f t="shared" si="96"/>
        <v>7.1336235325154998E-2</v>
      </c>
      <c r="AE181" s="160">
        <v>285</v>
      </c>
      <c r="AF181" s="160">
        <v>14</v>
      </c>
      <c r="AG181" s="160">
        <v>2.1</v>
      </c>
      <c r="AH181" s="303">
        <f t="shared" si="103"/>
        <v>0.30904728513409402</v>
      </c>
      <c r="AI181" s="86">
        <f t="shared" si="106"/>
        <v>377.4526082107472</v>
      </c>
      <c r="AJ181" s="86"/>
      <c r="AK181" s="86"/>
      <c r="AL181" s="86"/>
      <c r="AM181" s="86"/>
      <c r="AN181" s="536"/>
      <c r="AP181" s="53"/>
      <c r="AQ181" s="108"/>
      <c r="AR181" s="110"/>
      <c r="AS181" s="724"/>
      <c r="AT181" s="750"/>
      <c r="AU181" s="750"/>
      <c r="AV181" s="751"/>
      <c r="AW181" s="108"/>
      <c r="AX181" s="724"/>
      <c r="AY181" s="53"/>
      <c r="AZ181" s="108"/>
      <c r="BA181" s="771"/>
      <c r="BB181" s="108"/>
      <c r="BC181" s="724"/>
      <c r="BD181" s="724"/>
      <c r="BE181" s="724"/>
      <c r="BF181" s="634"/>
      <c r="BG181" s="108"/>
      <c r="BH181" s="725"/>
      <c r="BI181" s="725"/>
      <c r="BJ181" s="725"/>
      <c r="BK181" s="725"/>
      <c r="BL181" s="725"/>
      <c r="BM181" s="725"/>
      <c r="BN181" s="475"/>
      <c r="BO181" s="475"/>
      <c r="BP181" s="475"/>
      <c r="BY181" s="14">
        <v>9.9860000000000007</v>
      </c>
    </row>
    <row r="182" spans="1:77" ht="15" customHeight="1" x14ac:dyDescent="0.15">
      <c r="A182" s="782" t="str">
        <f>'r-in'!A136</f>
        <v>071_U</v>
      </c>
      <c r="B182" s="258" t="s">
        <v>933</v>
      </c>
      <c r="C182" s="162">
        <f>'r-in'!P136</f>
        <v>2451.1128944424981</v>
      </c>
      <c r="D182" s="162">
        <f>'r-in'!Q136</f>
        <v>11.291889475379953</v>
      </c>
      <c r="E182" s="81">
        <f>'r-in'!R136</f>
        <v>459805.65067019768</v>
      </c>
      <c r="F182" s="162">
        <f>'r-in'!S136</f>
        <v>6.074257770547784</v>
      </c>
      <c r="G182" s="81">
        <f>'r-in'!T136</f>
        <v>2722.4787093328159</v>
      </c>
      <c r="H182" s="162">
        <f>'r-in'!U136</f>
        <v>10.127564165076164</v>
      </c>
      <c r="I182" s="81">
        <f>'r-in'!V136</f>
        <v>2575.2136401267603</v>
      </c>
      <c r="J182" s="162">
        <f>'r-in'!W136</f>
        <v>9.3458666425600292</v>
      </c>
      <c r="K182" s="81">
        <f>'r-in'!X136</f>
        <v>1990379.5376969837</v>
      </c>
      <c r="L182" s="162">
        <f>'r-in'!Y136</f>
        <v>6.4045519434954805</v>
      </c>
      <c r="M182" s="81">
        <f>'r-in'!Z136</f>
        <v>2802.4959583773011</v>
      </c>
      <c r="N182" s="162">
        <f>'r-in'!AA136</f>
        <v>11.851934844981217</v>
      </c>
      <c r="O182" s="81">
        <f>'r-in'!AB136</f>
        <v>418780.70530949393</v>
      </c>
      <c r="P182" s="162">
        <f>'r-in'!AC136</f>
        <v>6.6204511030380671</v>
      </c>
      <c r="Q182" s="81">
        <f>'r-in'!AD136</f>
        <v>1905029.0691266481</v>
      </c>
      <c r="R182" s="162">
        <f>'r-in'!AE136</f>
        <v>6.6770586814728903</v>
      </c>
      <c r="S182" s="157">
        <f>'r-in'!AF136</f>
        <v>4.5174458169025007</v>
      </c>
      <c r="T182" s="157">
        <f>'r-in'!AG136</f>
        <v>5.5277688994310625E-2</v>
      </c>
      <c r="U182" s="157">
        <f>'r-in'!AH136</f>
        <v>4.5432685459215136</v>
      </c>
      <c r="V182" s="157">
        <f>'r-in'!AI136</f>
        <v>6.8966030066333575E-2</v>
      </c>
      <c r="W182" s="158">
        <v>71</v>
      </c>
      <c r="X182" s="764">
        <f t="shared" si="93"/>
        <v>0.88037857261371177</v>
      </c>
      <c r="Y182" s="387">
        <f t="shared" si="101"/>
        <v>3.999796277459156</v>
      </c>
      <c r="Z182" s="640">
        <f t="shared" si="102"/>
        <v>5.5277688994310625E-2</v>
      </c>
      <c r="AA182" s="473">
        <f t="shared" si="104"/>
        <v>-13.492100762324322</v>
      </c>
      <c r="AB182" s="478">
        <f t="shared" si="105"/>
        <v>0.54531876844499116</v>
      </c>
      <c r="AC182" s="108">
        <v>1</v>
      </c>
      <c r="AD182" s="159">
        <f t="shared" si="96"/>
        <v>7.1336235325154998E-2</v>
      </c>
      <c r="AE182" s="160">
        <v>285</v>
      </c>
      <c r="AF182" s="160">
        <v>14</v>
      </c>
      <c r="AG182" s="160">
        <v>2.1</v>
      </c>
      <c r="AH182" s="303">
        <f t="shared" si="103"/>
        <v>0.56771756069672541</v>
      </c>
      <c r="AI182" s="86">
        <f t="shared" si="106"/>
        <v>679.76157590239541</v>
      </c>
      <c r="AJ182" s="86"/>
      <c r="AK182" s="86"/>
      <c r="AL182" s="775"/>
      <c r="AM182" s="775"/>
      <c r="AN182" s="536"/>
      <c r="AP182" s="53"/>
      <c r="AQ182" s="108"/>
      <c r="AR182" s="108"/>
      <c r="AS182" s="724"/>
      <c r="AT182" s="724"/>
      <c r="AU182" s="724"/>
      <c r="AV182" s="634"/>
      <c r="AW182" s="108"/>
      <c r="AX182" s="725"/>
      <c r="AY182" s="53"/>
      <c r="AZ182" s="108"/>
      <c r="BA182" s="771"/>
      <c r="BB182" s="108"/>
      <c r="BC182" s="724"/>
      <c r="BD182" s="724"/>
      <c r="BE182" s="724"/>
      <c r="BF182" s="634"/>
      <c r="BG182" s="108"/>
      <c r="BH182" s="725"/>
      <c r="BI182" s="725"/>
      <c r="BJ182" s="725"/>
      <c r="BK182" s="725"/>
      <c r="BL182" s="634"/>
      <c r="BM182" s="724"/>
      <c r="BN182" s="475"/>
      <c r="BO182" s="475"/>
      <c r="BP182" s="10"/>
      <c r="BY182" s="14">
        <v>9.9860000000000007</v>
      </c>
    </row>
    <row r="183" spans="1:77" ht="15" customHeight="1" x14ac:dyDescent="0.15">
      <c r="A183" s="782" t="str">
        <f>'r-in'!A137</f>
        <v>072_U</v>
      </c>
      <c r="B183" s="258" t="s">
        <v>933</v>
      </c>
      <c r="C183" s="162">
        <f>'r-in'!P137</f>
        <v>3636.6528513346461</v>
      </c>
      <c r="D183" s="162">
        <f>'r-in'!Q137</f>
        <v>5.0887954199295606</v>
      </c>
      <c r="E183" s="81">
        <f>'r-in'!R137</f>
        <v>335712.19584213267</v>
      </c>
      <c r="F183" s="162">
        <f>'r-in'!S137</f>
        <v>8.4426399831039749</v>
      </c>
      <c r="G183" s="81">
        <f>'r-in'!T137</f>
        <v>3829.4376501746933</v>
      </c>
      <c r="H183" s="162">
        <f>'r-in'!U137</f>
        <v>6.6126521171551174</v>
      </c>
      <c r="I183" s="81">
        <f>'r-in'!V137</f>
        <v>3724.8170045914239</v>
      </c>
      <c r="J183" s="162">
        <f>'r-in'!W137</f>
        <v>5.0768751470851212</v>
      </c>
      <c r="K183" s="81">
        <f>'r-in'!X137</f>
        <v>1426093.8334910723</v>
      </c>
      <c r="L183" s="162">
        <f>'r-in'!Y137</f>
        <v>9.0662797836420914</v>
      </c>
      <c r="M183" s="81">
        <f>'r-in'!Z137</f>
        <v>4159.505236722538</v>
      </c>
      <c r="N183" s="162">
        <f>'r-in'!AA137</f>
        <v>7.1724988552555784</v>
      </c>
      <c r="O183" s="81">
        <f>'r-in'!AB137</f>
        <v>293700.12644903729</v>
      </c>
      <c r="P183" s="162">
        <f>'r-in'!AC137</f>
        <v>9.5974778658931399</v>
      </c>
      <c r="Q183" s="81">
        <f>'r-in'!AD137</f>
        <v>1339686.3484800882</v>
      </c>
      <c r="R183" s="162">
        <f>'r-in'!AE137</f>
        <v>9.6379688087629951</v>
      </c>
      <c r="S183" s="157">
        <f>'r-in'!AF137</f>
        <v>4.4875850372993522</v>
      </c>
      <c r="T183" s="157">
        <f>'r-in'!AG137</f>
        <v>0.10417533775416622</v>
      </c>
      <c r="U183" s="157">
        <f>'r-in'!AH137</f>
        <v>4.5577807452845684</v>
      </c>
      <c r="V183" s="157">
        <f>'r-in'!AI137</f>
        <v>9.3982410957154275E-2</v>
      </c>
      <c r="W183" s="158">
        <v>72</v>
      </c>
      <c r="X183" s="764">
        <f t="shared" si="93"/>
        <v>0.8803942168887684</v>
      </c>
      <c r="Y183" s="387">
        <f t="shared" si="101"/>
        <v>4.0126438099955148</v>
      </c>
      <c r="Z183" s="640">
        <f t="shared" si="102"/>
        <v>0.10417533775416622</v>
      </c>
      <c r="AA183" s="473">
        <f t="shared" si="104"/>
        <v>-10.323391294730587</v>
      </c>
      <c r="AB183" s="478">
        <f t="shared" si="105"/>
        <v>1.0309989497927496</v>
      </c>
      <c r="AC183" s="108">
        <v>1</v>
      </c>
      <c r="AD183" s="159">
        <f t="shared" si="96"/>
        <v>7.1336235325154998E-2</v>
      </c>
      <c r="AE183" s="160">
        <v>285</v>
      </c>
      <c r="AF183" s="160">
        <v>14</v>
      </c>
      <c r="AG183" s="160">
        <v>2.1</v>
      </c>
      <c r="AH183" s="303">
        <f t="shared" si="103"/>
        <v>0.3998034252911391</v>
      </c>
      <c r="AI183" s="86">
        <f t="shared" si="106"/>
        <v>322.07829350773642</v>
      </c>
      <c r="AJ183" s="86"/>
      <c r="AK183" s="86"/>
      <c r="AL183" s="86"/>
      <c r="AM183" s="86"/>
      <c r="AN183" s="536"/>
      <c r="AP183" s="53"/>
      <c r="AQ183" s="108"/>
      <c r="AR183" s="110"/>
      <c r="AS183" s="724"/>
      <c r="AT183" s="750"/>
      <c r="AU183" s="750"/>
      <c r="AV183" s="751"/>
      <c r="AW183" s="108"/>
      <c r="AX183" s="724"/>
      <c r="AY183" s="53"/>
      <c r="AZ183" s="108"/>
      <c r="BA183" s="771"/>
      <c r="BB183" s="108"/>
      <c r="BC183" s="724"/>
      <c r="BD183" s="724"/>
      <c r="BE183" s="724"/>
      <c r="BF183" s="634"/>
      <c r="BG183" s="108"/>
      <c r="BH183" s="725"/>
      <c r="BI183" s="725"/>
      <c r="BJ183" s="725"/>
      <c r="BK183" s="725"/>
      <c r="BL183" s="725"/>
      <c r="BM183" s="725"/>
      <c r="BN183" s="475"/>
      <c r="BO183" s="475"/>
      <c r="BP183" s="475"/>
      <c r="BY183" s="14">
        <v>9.9860000000000007</v>
      </c>
    </row>
    <row r="184" spans="1:77" ht="15" customHeight="1" x14ac:dyDescent="0.15">
      <c r="A184" s="782" t="str">
        <f>'r-in'!A138</f>
        <v>073_U</v>
      </c>
      <c r="B184" s="258" t="s">
        <v>933</v>
      </c>
      <c r="C184" s="162">
        <f>'r-in'!P138</f>
        <v>2601.8216606934211</v>
      </c>
      <c r="D184" s="162">
        <f>'r-in'!Q138</f>
        <v>8.551638469557254</v>
      </c>
      <c r="E184" s="81">
        <f>'r-in'!R138</f>
        <v>406928.12785613158</v>
      </c>
      <c r="F184" s="162">
        <f>'r-in'!S138</f>
        <v>7.4987536716638754</v>
      </c>
      <c r="G184" s="81">
        <f>'r-in'!T138</f>
        <v>2669.8562280337296</v>
      </c>
      <c r="H184" s="162">
        <f>'r-in'!U138</f>
        <v>9.6106968842254155</v>
      </c>
      <c r="I184" s="81">
        <f>'r-in'!V138</f>
        <v>2632.9351616428721</v>
      </c>
      <c r="J184" s="162">
        <f>'r-in'!W138</f>
        <v>7.641413738594931</v>
      </c>
      <c r="K184" s="81">
        <f>'r-in'!X138</f>
        <v>1745913.8552293407</v>
      </c>
      <c r="L184" s="162">
        <f>'r-in'!Y138</f>
        <v>7.9411124447907957</v>
      </c>
      <c r="M184" s="81">
        <f>'r-in'!Z138</f>
        <v>3248.0741984495003</v>
      </c>
      <c r="N184" s="162">
        <f>'r-in'!AA138</f>
        <v>10.582356641935</v>
      </c>
      <c r="O184" s="81">
        <f>'r-in'!AB138</f>
        <v>366263.45399601641</v>
      </c>
      <c r="P184" s="162">
        <f>'r-in'!AC138</f>
        <v>8.2849432437614592</v>
      </c>
      <c r="Q184" s="81">
        <f>'r-in'!AD138</f>
        <v>1661511.7302255833</v>
      </c>
      <c r="R184" s="162">
        <f>'r-in'!AE138</f>
        <v>8.3311323712172989</v>
      </c>
      <c r="S184" s="157">
        <f>'r-in'!AF138</f>
        <v>4.4967428625564061</v>
      </c>
      <c r="T184" s="157">
        <f>'r-in'!AG138</f>
        <v>7.1357379063506698E-2</v>
      </c>
      <c r="U184" s="157">
        <f>'r-in'!AH138</f>
        <v>4.5303136215639652</v>
      </c>
      <c r="V184" s="157">
        <f>'r-in'!AI138</f>
        <v>7.1000458449827525E-2</v>
      </c>
      <c r="W184" s="158">
        <v>73</v>
      </c>
      <c r="X184" s="764">
        <f t="shared" si="93"/>
        <v>0.88041026376433995</v>
      </c>
      <c r="Y184" s="387">
        <f t="shared" si="101"/>
        <v>3.9885346104963126</v>
      </c>
      <c r="Z184" s="640">
        <f t="shared" si="102"/>
        <v>7.1357379063506698E-2</v>
      </c>
      <c r="AA184" s="473">
        <f t="shared" si="104"/>
        <v>-16.269673080204107</v>
      </c>
      <c r="AB184" s="478">
        <f t="shared" si="105"/>
        <v>0.70196417834278435</v>
      </c>
      <c r="AC184" s="108">
        <v>1</v>
      </c>
      <c r="AD184" s="159">
        <f t="shared" si="96"/>
        <v>7.1336235325154998E-2</v>
      </c>
      <c r="AE184" s="160">
        <v>285</v>
      </c>
      <c r="AF184" s="160">
        <v>14</v>
      </c>
      <c r="AG184" s="160">
        <v>2.1</v>
      </c>
      <c r="AH184" s="303">
        <f t="shared" si="103"/>
        <v>0.49653811668091474</v>
      </c>
      <c r="AI184" s="86">
        <f t="shared" si="106"/>
        <v>511.53749228349585</v>
      </c>
      <c r="AJ184" s="86"/>
      <c r="AK184" s="86"/>
      <c r="AL184" s="775"/>
      <c r="AM184" s="775"/>
      <c r="AN184" s="536"/>
      <c r="AP184" s="53"/>
      <c r="AQ184" s="108"/>
      <c r="AR184" s="108"/>
      <c r="AS184" s="724"/>
      <c r="AT184" s="724"/>
      <c r="AU184" s="724"/>
      <c r="AV184" s="634"/>
      <c r="AW184" s="108"/>
      <c r="AX184" s="725"/>
      <c r="AY184" s="53"/>
      <c r="AZ184" s="108"/>
      <c r="BA184" s="771"/>
      <c r="BB184" s="108"/>
      <c r="BC184" s="724"/>
      <c r="BD184" s="724"/>
      <c r="BE184" s="724"/>
      <c r="BF184" s="634"/>
      <c r="BG184" s="108"/>
      <c r="BH184" s="725"/>
      <c r="BI184" s="725"/>
      <c r="BJ184" s="725"/>
      <c r="BK184" s="725"/>
      <c r="BL184" s="634"/>
      <c r="BM184" s="724"/>
      <c r="BN184" s="475"/>
      <c r="BO184" s="475"/>
      <c r="BP184" s="10"/>
      <c r="BY184" s="14">
        <v>9.9860000000000007</v>
      </c>
    </row>
    <row r="185" spans="1:77" ht="15" customHeight="1" x14ac:dyDescent="0.15">
      <c r="A185" s="782" t="str">
        <f>'r-in'!A139</f>
        <v>074_U</v>
      </c>
      <c r="B185" s="258" t="s">
        <v>933</v>
      </c>
      <c r="C185" s="162">
        <f>'r-in'!P139</f>
        <v>2567.9632949842289</v>
      </c>
      <c r="D185" s="162">
        <f>'r-in'!Q139</f>
        <v>12.305901372377321</v>
      </c>
      <c r="E185" s="81">
        <f>'r-in'!R139</f>
        <v>373542.9710472693</v>
      </c>
      <c r="F185" s="162">
        <f>'r-in'!S139</f>
        <v>8.7041231249466442</v>
      </c>
      <c r="G185" s="81">
        <f>'r-in'!T139</f>
        <v>2954.2596479326148</v>
      </c>
      <c r="H185" s="162">
        <f>'r-in'!U139</f>
        <v>9.2324189543364241</v>
      </c>
      <c r="I185" s="81">
        <f>'r-in'!V139</f>
        <v>2744.6239604972475</v>
      </c>
      <c r="J185" s="162">
        <f>'r-in'!W139</f>
        <v>9.4510975318667843</v>
      </c>
      <c r="K185" s="81">
        <f>'r-in'!X139</f>
        <v>1596786.571683106</v>
      </c>
      <c r="L185" s="162">
        <f>'r-in'!Y139</f>
        <v>9.2464489625401924</v>
      </c>
      <c r="M185" s="81">
        <f>'r-in'!Z139</f>
        <v>2732.2259826464542</v>
      </c>
      <c r="N185" s="162">
        <f>'r-in'!AA139</f>
        <v>12.672643815818571</v>
      </c>
      <c r="O185" s="81">
        <f>'r-in'!AB139</f>
        <v>332426.18751970161</v>
      </c>
      <c r="P185" s="162">
        <f>'r-in'!AC139</f>
        <v>9.7153952049881251</v>
      </c>
      <c r="Q185" s="81">
        <f>'r-in'!AD139</f>
        <v>1512082.3407364977</v>
      </c>
      <c r="R185" s="162">
        <f>'r-in'!AE139</f>
        <v>9.7470549504644435</v>
      </c>
      <c r="S185" s="157">
        <f>'r-in'!AF139</f>
        <v>4.5045587401682132</v>
      </c>
      <c r="T185" s="157">
        <f>'r-in'!AG139</f>
        <v>7.8742130794621182E-2</v>
      </c>
      <c r="U185" s="157">
        <f>'r-in'!AH139</f>
        <v>4.543772781802307</v>
      </c>
      <c r="V185" s="157">
        <f>'r-in'!AI139</f>
        <v>7.9662216536030755E-2</v>
      </c>
      <c r="W185" s="158">
        <v>74</v>
      </c>
      <c r="X185" s="764">
        <f t="shared" si="93"/>
        <v>0.88042670145684909</v>
      </c>
      <c r="Y185" s="387">
        <f t="shared" si="101"/>
        <v>4.0004588824516167</v>
      </c>
      <c r="Z185" s="640">
        <f t="shared" si="102"/>
        <v>7.8742130794621182E-2</v>
      </c>
      <c r="AA185" s="473">
        <f t="shared" si="104"/>
        <v>-13.328676174222064</v>
      </c>
      <c r="AB185" s="478">
        <f t="shared" si="105"/>
        <v>0.77692602431989144</v>
      </c>
      <c r="AC185" s="108">
        <v>1</v>
      </c>
      <c r="AD185" s="159">
        <f t="shared" si="96"/>
        <v>7.1336235325154998E-2</v>
      </c>
      <c r="AE185" s="160">
        <v>285</v>
      </c>
      <c r="AF185" s="160">
        <v>14</v>
      </c>
      <c r="AG185" s="160">
        <v>2.1</v>
      </c>
      <c r="AH185" s="303">
        <f t="shared" si="103"/>
        <v>0.45250523869337006</v>
      </c>
      <c r="AI185" s="86">
        <f t="shared" si="106"/>
        <v>553.42506452262182</v>
      </c>
      <c r="AJ185" s="86"/>
      <c r="AK185" s="86"/>
      <c r="AL185" s="86"/>
      <c r="AM185" s="86"/>
      <c r="AN185" s="536"/>
      <c r="AP185" s="53"/>
      <c r="AQ185" s="108"/>
      <c r="AR185" s="110"/>
      <c r="AS185" s="724"/>
      <c r="AT185" s="750"/>
      <c r="AU185" s="750"/>
      <c r="AV185" s="751"/>
      <c r="AW185" s="108"/>
      <c r="AX185" s="724"/>
      <c r="AY185" s="53"/>
      <c r="AZ185" s="108"/>
      <c r="BA185" s="771"/>
      <c r="BB185" s="108"/>
      <c r="BC185" s="724"/>
      <c r="BD185" s="724"/>
      <c r="BE185" s="724"/>
      <c r="BF185" s="634"/>
      <c r="BG185" s="108"/>
      <c r="BH185" s="725"/>
      <c r="BI185" s="725"/>
      <c r="BJ185" s="725"/>
      <c r="BK185" s="725"/>
      <c r="BL185" s="725"/>
      <c r="BM185" s="725"/>
      <c r="BN185" s="475"/>
      <c r="BO185" s="475"/>
      <c r="BP185" s="475"/>
      <c r="BY185" s="14">
        <v>9.9860000000000007</v>
      </c>
    </row>
    <row r="186" spans="1:77" ht="15" customHeight="1" x14ac:dyDescent="0.15">
      <c r="A186" s="782" t="str">
        <f>'r-in'!A140</f>
        <v>075_U</v>
      </c>
      <c r="B186" s="258" t="s">
        <v>933</v>
      </c>
      <c r="C186" s="162">
        <f>'r-in'!P140</f>
        <v>4521.8823039265762</v>
      </c>
      <c r="D186" s="162">
        <f>'r-in'!Q140</f>
        <v>5.8081249370349575</v>
      </c>
      <c r="E186" s="81">
        <f>'r-in'!R140</f>
        <v>355114.98205066926</v>
      </c>
      <c r="F186" s="162">
        <f>'r-in'!S140</f>
        <v>9.988009788625714</v>
      </c>
      <c r="G186" s="81">
        <f>'r-in'!T140</f>
        <v>4720.4055598605974</v>
      </c>
      <c r="H186" s="162">
        <f>'r-in'!U140</f>
        <v>5.6971245487634539</v>
      </c>
      <c r="I186" s="81">
        <f>'r-in'!V140</f>
        <v>4612.6707626977659</v>
      </c>
      <c r="J186" s="162">
        <f>'r-in'!W140</f>
        <v>4.7256896342626344</v>
      </c>
      <c r="K186" s="81">
        <f>'r-in'!X140</f>
        <v>1506920.2034573653</v>
      </c>
      <c r="L186" s="162">
        <f>'r-in'!Y140</f>
        <v>10.706804423270663</v>
      </c>
      <c r="M186" s="81">
        <f>'r-in'!Z140</f>
        <v>4660.5638844275818</v>
      </c>
      <c r="N186" s="162">
        <f>'r-in'!AA140</f>
        <v>6.6078584029238314</v>
      </c>
      <c r="O186" s="81">
        <f>'r-in'!AB140</f>
        <v>312231.95944020327</v>
      </c>
      <c r="P186" s="162">
        <f>'r-in'!AC140</f>
        <v>11.303003041990806</v>
      </c>
      <c r="Q186" s="81">
        <f>'r-in'!AD140</f>
        <v>1420631.7404140406</v>
      </c>
      <c r="R186" s="162">
        <f>'r-in'!AE140</f>
        <v>11.343346141542529</v>
      </c>
      <c r="S186" s="157">
        <f>'r-in'!AF140</f>
        <v>4.4536510262972513</v>
      </c>
      <c r="T186" s="157">
        <f>'r-in'!AG140</f>
        <v>0.11036313096061674</v>
      </c>
      <c r="U186" s="157">
        <f>'r-in'!AH140</f>
        <v>4.544858541663471</v>
      </c>
      <c r="V186" s="157">
        <f>'r-in'!AI140</f>
        <v>7.5329589320181536E-2</v>
      </c>
      <c r="W186" s="158">
        <v>75</v>
      </c>
      <c r="X186" s="764">
        <f t="shared" si="93"/>
        <v>0.88044351829923939</v>
      </c>
      <c r="Y186" s="387">
        <f t="shared" si="101"/>
        <v>4.0014912445945363</v>
      </c>
      <c r="Z186" s="640">
        <f t="shared" si="102"/>
        <v>0.11036313096061674</v>
      </c>
      <c r="AA186" s="473">
        <f t="shared" si="104"/>
        <v>-13.074054853980389</v>
      </c>
      <c r="AB186" s="478">
        <f t="shared" si="105"/>
        <v>1.0892023733257687</v>
      </c>
      <c r="AC186" s="108">
        <v>1</v>
      </c>
      <c r="AD186" s="159">
        <f t="shared" si="96"/>
        <v>7.1336235325154998E-2</v>
      </c>
      <c r="AE186" s="160">
        <v>285</v>
      </c>
      <c r="AF186" s="160">
        <v>14</v>
      </c>
      <c r="AG186" s="160">
        <v>2.1</v>
      </c>
      <c r="AH186" s="303">
        <f t="shared" si="103"/>
        <v>0.4257178915460631</v>
      </c>
      <c r="AI186" s="86">
        <f t="shared" si="106"/>
        <v>304.81971187238111</v>
      </c>
      <c r="AJ186" s="86"/>
      <c r="AK186" s="86"/>
      <c r="AL186" s="775"/>
      <c r="AM186" s="775"/>
      <c r="AN186" s="536"/>
      <c r="AP186" s="53"/>
      <c r="AQ186" s="108"/>
      <c r="AR186" s="108"/>
      <c r="AS186" s="724"/>
      <c r="AT186" s="724"/>
      <c r="AU186" s="724"/>
      <c r="AV186" s="634"/>
      <c r="AW186" s="108"/>
      <c r="AX186" s="725"/>
      <c r="AY186" s="53"/>
      <c r="AZ186" s="108"/>
      <c r="BA186" s="771"/>
      <c r="BB186" s="108"/>
      <c r="BC186" s="724"/>
      <c r="BD186" s="724"/>
      <c r="BE186" s="724"/>
      <c r="BF186" s="634"/>
      <c r="BG186" s="108"/>
      <c r="BH186" s="725"/>
      <c r="BI186" s="725"/>
      <c r="BJ186" s="725"/>
      <c r="BK186" s="725"/>
      <c r="BL186" s="634"/>
      <c r="BM186" s="724"/>
      <c r="BN186" s="475"/>
      <c r="BO186" s="475"/>
      <c r="BP186" s="10"/>
      <c r="BY186" s="14">
        <v>9.9860000000000007</v>
      </c>
    </row>
    <row r="187" spans="1:77" ht="15" customHeight="1" x14ac:dyDescent="0.15">
      <c r="A187" s="782" t="str">
        <f>'r-in'!A141</f>
        <v>076_U</v>
      </c>
      <c r="B187" s="258" t="s">
        <v>933</v>
      </c>
      <c r="C187" s="162">
        <f>'r-in'!P141</f>
        <v>2980.7436047524416</v>
      </c>
      <c r="D187" s="162">
        <f>'r-in'!Q141</f>
        <v>7.2042808402252732</v>
      </c>
      <c r="E187" s="81">
        <f>'r-in'!R141</f>
        <v>375015.28124312655</v>
      </c>
      <c r="F187" s="162">
        <f>'r-in'!S141</f>
        <v>6.7656114529266498</v>
      </c>
      <c r="G187" s="81">
        <f>'r-in'!T141</f>
        <v>2974.6889858169238</v>
      </c>
      <c r="H187" s="162">
        <f>'r-in'!U141</f>
        <v>7.8315393205234383</v>
      </c>
      <c r="I187" s="81">
        <f>'r-in'!V141</f>
        <v>2977.974712417807</v>
      </c>
      <c r="J187" s="162">
        <f>'r-in'!W141</f>
        <v>5.306537833912591</v>
      </c>
      <c r="K187" s="81">
        <f>'r-in'!X141</f>
        <v>1606348.4311616383</v>
      </c>
      <c r="L187" s="162">
        <f>'r-in'!Y141</f>
        <v>7.2129417382460126</v>
      </c>
      <c r="M187" s="81">
        <f>'r-in'!Z141</f>
        <v>2972.9996398347507</v>
      </c>
      <c r="N187" s="162">
        <f>'r-in'!AA141</f>
        <v>9.6591219096296292</v>
      </c>
      <c r="O187" s="81">
        <f>'r-in'!AB141</f>
        <v>333648.80118585855</v>
      </c>
      <c r="P187" s="162">
        <f>'r-in'!AC141</f>
        <v>7.5692877223428843</v>
      </c>
      <c r="Q187" s="81">
        <f>'r-in'!AD141</f>
        <v>1521982.4107187227</v>
      </c>
      <c r="R187" s="162">
        <f>'r-in'!AE141</f>
        <v>7.6025284364330927</v>
      </c>
      <c r="S187" s="157">
        <f>'r-in'!AF141</f>
        <v>4.5061684556070949</v>
      </c>
      <c r="T187" s="157">
        <f>'r-in'!AG141</f>
        <v>7.0454676204744715E-2</v>
      </c>
      <c r="U187" s="157">
        <f>'r-in'!AH141</f>
        <v>4.5574810724156034</v>
      </c>
      <c r="V187" s="157">
        <f>'r-in'!AI141</f>
        <v>7.0917027335567137E-2</v>
      </c>
      <c r="W187" s="158">
        <v>76</v>
      </c>
      <c r="X187" s="764">
        <f t="shared" si="93"/>
        <v>0.88046070274089361</v>
      </c>
      <c r="Y187" s="387">
        <f t="shared" si="101"/>
        <v>4.0126829877473638</v>
      </c>
      <c r="Z187" s="640">
        <f t="shared" si="102"/>
        <v>7.0454676204744715E-2</v>
      </c>
      <c r="AA187" s="473">
        <f t="shared" si="104"/>
        <v>-10.313728512180598</v>
      </c>
      <c r="AB187" s="478">
        <f t="shared" si="105"/>
        <v>0.6972802580195161</v>
      </c>
      <c r="AC187" s="108">
        <v>1</v>
      </c>
      <c r="AD187" s="159">
        <f t="shared" si="96"/>
        <v>7.1336235325154998E-2</v>
      </c>
      <c r="AE187" s="160">
        <v>285</v>
      </c>
      <c r="AF187" s="160">
        <v>14</v>
      </c>
      <c r="AG187" s="160">
        <v>2.1</v>
      </c>
      <c r="AH187" s="303">
        <f t="shared" si="103"/>
        <v>0.4567047351787617</v>
      </c>
      <c r="AI187" s="86">
        <f t="shared" si="106"/>
        <v>511.93494621590992</v>
      </c>
      <c r="AJ187" s="86"/>
      <c r="AK187" s="86"/>
      <c r="AL187" s="86"/>
      <c r="AM187" s="86"/>
      <c r="AN187" s="536"/>
      <c r="AP187" s="53"/>
      <c r="AQ187" s="108"/>
      <c r="AR187" s="110"/>
      <c r="AS187" s="724"/>
      <c r="AT187" s="750"/>
      <c r="AU187" s="750"/>
      <c r="AV187" s="751"/>
      <c r="AW187" s="108"/>
      <c r="AX187" s="724"/>
      <c r="AY187" s="53"/>
      <c r="AZ187" s="108"/>
      <c r="BA187" s="771"/>
      <c r="BB187" s="108"/>
      <c r="BC187" s="724"/>
      <c r="BD187" s="724"/>
      <c r="BE187" s="724"/>
      <c r="BF187" s="634"/>
      <c r="BG187" s="108"/>
      <c r="BH187" s="725"/>
      <c r="BI187" s="725"/>
      <c r="BJ187" s="725"/>
      <c r="BK187" s="725"/>
      <c r="BL187" s="725"/>
      <c r="BM187" s="725"/>
      <c r="BN187" s="475"/>
      <c r="BO187" s="475"/>
      <c r="BP187" s="475"/>
      <c r="BY187" s="14">
        <v>9.9860000000000007</v>
      </c>
    </row>
    <row r="188" spans="1:77" s="437" customFormat="1" ht="15" customHeight="1" x14ac:dyDescent="0.2">
      <c r="A188" s="783" t="str">
        <f>'r-in'!A142</f>
        <v>077_U</v>
      </c>
      <c r="B188" s="707" t="s">
        <v>1129</v>
      </c>
      <c r="C188" s="567">
        <f>'r-in'!P142</f>
        <v>91.817322153535684</v>
      </c>
      <c r="D188" s="567">
        <f>'r-in'!Q142</f>
        <v>178.83043943382955</v>
      </c>
      <c r="E188" s="568">
        <f>'r-in'!R142</f>
        <v>470350.5274788824</v>
      </c>
      <c r="F188" s="567">
        <f>'r-in'!S142</f>
        <v>5.4255376163845126</v>
      </c>
      <c r="G188" s="568">
        <f>'r-in'!T142</f>
        <v>168.93381478227002</v>
      </c>
      <c r="H188" s="567">
        <f>'r-in'!U142</f>
        <v>85.463995123455547</v>
      </c>
      <c r="I188" s="568">
        <f>'r-in'!V142</f>
        <v>127.08416018045887</v>
      </c>
      <c r="J188" s="567">
        <f>'r-in'!W142</f>
        <v>79.384716441719149</v>
      </c>
      <c r="K188" s="568">
        <f>'r-in'!X142</f>
        <v>2072852.3899816417</v>
      </c>
      <c r="L188" s="567">
        <f>'r-in'!Y142</f>
        <v>5.7100928169868155</v>
      </c>
      <c r="M188" s="568">
        <f>'r-in'!Z142</f>
        <v>1804.1382440058558</v>
      </c>
      <c r="N188" s="567">
        <f>'r-in'!AA142</f>
        <v>13.780225363382025</v>
      </c>
      <c r="O188" s="568">
        <f>'r-in'!AB142</f>
        <v>432298.72411651863</v>
      </c>
      <c r="P188" s="567">
        <f>'r-in'!AC142</f>
        <v>5.9038143215568519</v>
      </c>
      <c r="Q188" s="568">
        <f>'r-in'!AD142</f>
        <v>1988966.2156245473</v>
      </c>
      <c r="R188" s="567">
        <f>'r-in'!AE142</f>
        <v>5.9503491405823166</v>
      </c>
      <c r="S188" s="588">
        <f>'r-in'!AF142</f>
        <v>4.5922186893085799</v>
      </c>
      <c r="T188" s="588">
        <f>'r-in'!AG142</f>
        <v>5.4099776183363799E-2</v>
      </c>
      <c r="U188" s="588">
        <f>'r-in'!AH142</f>
        <v>4.5949529919231589</v>
      </c>
      <c r="V188" s="588">
        <f>'r-in'!AI142</f>
        <v>5.6554438163416945E-2</v>
      </c>
      <c r="W188" s="569">
        <v>77</v>
      </c>
      <c r="X188" s="776">
        <f t="shared" si="93"/>
        <v>0.88047824334755909</v>
      </c>
      <c r="Y188" s="610">
        <f t="shared" si="101"/>
        <v>4.0457561385931138</v>
      </c>
      <c r="Z188" s="639">
        <f t="shared" si="102"/>
        <v>5.4099776183363799E-2</v>
      </c>
      <c r="AA188" s="666">
        <f t="shared" si="104"/>
        <v>-2.1565819230203731</v>
      </c>
      <c r="AB188" s="667">
        <f t="shared" si="105"/>
        <v>0.53983105584010094</v>
      </c>
      <c r="AC188" s="570">
        <v>1</v>
      </c>
      <c r="AD188" s="787">
        <f t="shared" si="96"/>
        <v>7.1336235325154998E-2</v>
      </c>
      <c r="AE188" s="571">
        <v>285</v>
      </c>
      <c r="AF188" s="571">
        <v>14</v>
      </c>
      <c r="AG188" s="571">
        <v>2.1</v>
      </c>
      <c r="AH188" s="572">
        <f t="shared" si="103"/>
        <v>0.5976295965064361</v>
      </c>
      <c r="AI188" s="742">
        <f t="shared" si="106"/>
        <v>1102.4466790351414</v>
      </c>
      <c r="AJ188" s="742"/>
      <c r="AK188" s="742"/>
      <c r="AL188" s="788">
        <f>AGaverage(AA188:AA202)</f>
        <v>-2.1175383409908211</v>
      </c>
      <c r="AM188" s="788">
        <f>STDEV(AA188:AA202)/(COUNT(AA188:AA202)-1)^0.5</f>
        <v>0.51093227637633265</v>
      </c>
      <c r="AN188" s="573"/>
      <c r="AP188" s="240"/>
      <c r="AQ188" s="570"/>
      <c r="AR188" s="570"/>
      <c r="AS188" s="723"/>
      <c r="AT188" s="723"/>
      <c r="AU188" s="723"/>
      <c r="AV188" s="624"/>
      <c r="AW188" s="570"/>
      <c r="AX188" s="769"/>
      <c r="AY188" s="240"/>
      <c r="AZ188" s="570"/>
      <c r="BA188" s="770"/>
      <c r="BB188" s="570"/>
      <c r="BC188" s="723"/>
      <c r="BD188" s="723"/>
      <c r="BE188" s="723"/>
      <c r="BF188" s="624"/>
      <c r="BG188" s="570"/>
      <c r="BH188" s="769"/>
      <c r="BI188" s="769"/>
      <c r="BJ188" s="769"/>
      <c r="BK188" s="769"/>
      <c r="BL188" s="624"/>
      <c r="BM188" s="723"/>
      <c r="BN188" s="574"/>
      <c r="BO188" s="574"/>
      <c r="BP188" s="576"/>
      <c r="BY188" s="437">
        <v>9.9860000000000007</v>
      </c>
    </row>
    <row r="189" spans="1:77" ht="15" customHeight="1" x14ac:dyDescent="0.2">
      <c r="A189" s="782" t="str">
        <f>'r-in'!A143</f>
        <v>078_U</v>
      </c>
      <c r="B189" s="707" t="s">
        <v>1129</v>
      </c>
      <c r="C189" s="162">
        <f>'r-in'!P143</f>
        <v>938.6392511562558</v>
      </c>
      <c r="D189" s="162">
        <f>'r-in'!Q143</f>
        <v>17.405429137987852</v>
      </c>
      <c r="E189" s="81">
        <f>'r-in'!R143</f>
        <v>584797.17183187488</v>
      </c>
      <c r="F189" s="162">
        <f>'r-in'!S143</f>
        <v>8.4978114650490824</v>
      </c>
      <c r="G189" s="81">
        <f>'r-in'!T143</f>
        <v>998.24793496021584</v>
      </c>
      <c r="H189" s="162">
        <f>'r-in'!U143</f>
        <v>15.240410345705213</v>
      </c>
      <c r="I189" s="81">
        <f>'r-in'!V143</f>
        <v>965.89943539250078</v>
      </c>
      <c r="J189" s="162">
        <f>'r-in'!W143</f>
        <v>11.943147768231169</v>
      </c>
      <c r="K189" s="81">
        <f>'r-in'!X143</f>
        <v>2612989.715457296</v>
      </c>
      <c r="L189" s="162">
        <f>'r-in'!Y143</f>
        <v>8.8799143699424423</v>
      </c>
      <c r="M189" s="81">
        <f>'r-in'!Z143</f>
        <v>2138.0150830858265</v>
      </c>
      <c r="N189" s="162">
        <f>'r-in'!AA143</f>
        <v>10.18226240829329</v>
      </c>
      <c r="O189" s="81">
        <f>'r-in'!AB143</f>
        <v>547997.27769199701</v>
      </c>
      <c r="P189" s="162">
        <f>'r-in'!AC143</f>
        <v>9.0730024779340823</v>
      </c>
      <c r="Q189" s="81">
        <f>'r-in'!AD143</f>
        <v>2534422.284510063</v>
      </c>
      <c r="R189" s="162">
        <f>'r-in'!AE143</f>
        <v>9.1532789207540066</v>
      </c>
      <c r="S189" s="157">
        <f>'r-in'!AF143</f>
        <v>4.5977130080210298</v>
      </c>
      <c r="T189" s="157">
        <f>'r-in'!AG143</f>
        <v>7.3952765628509901E-2</v>
      </c>
      <c r="U189" s="157">
        <f>'r-in'!AH143</f>
        <v>4.6107862409280091</v>
      </c>
      <c r="V189" s="157">
        <f>'r-in'!AI143</f>
        <v>6.9384899661279906E-2</v>
      </c>
      <c r="W189" s="158">
        <v>78</v>
      </c>
      <c r="X189" s="764">
        <f t="shared" si="93"/>
        <v>0.88049612880127515</v>
      </c>
      <c r="Y189" s="387">
        <f t="shared" si="101"/>
        <v>4.0597794358672958</v>
      </c>
      <c r="Z189" s="640">
        <f t="shared" si="102"/>
        <v>7.3952765628509901E-2</v>
      </c>
      <c r="AA189" s="473">
        <f t="shared" si="104"/>
        <v>1.302117614328635</v>
      </c>
      <c r="AB189" s="478">
        <f t="shared" si="105"/>
        <v>0.74049060827241497</v>
      </c>
      <c r="AC189" s="108">
        <v>1</v>
      </c>
      <c r="AD189" s="159">
        <f t="shared" si="96"/>
        <v>7.1336235325154998E-2</v>
      </c>
      <c r="AE189" s="160">
        <v>285</v>
      </c>
      <c r="AF189" s="160">
        <v>14</v>
      </c>
      <c r="AG189" s="160">
        <v>2.1</v>
      </c>
      <c r="AH189" s="303">
        <f t="shared" si="103"/>
        <v>0.76252807987227766</v>
      </c>
      <c r="AI189" s="86">
        <f t="shared" si="106"/>
        <v>1185.4089826401489</v>
      </c>
      <c r="AJ189" s="86"/>
      <c r="AK189" s="86"/>
      <c r="AL189" s="86"/>
      <c r="AM189" s="86"/>
      <c r="AN189" s="536"/>
      <c r="AP189" s="53"/>
      <c r="AQ189" s="108"/>
      <c r="AR189" s="110"/>
      <c r="AS189" s="724"/>
      <c r="AT189" s="750"/>
      <c r="AU189" s="750"/>
      <c r="AV189" s="751"/>
      <c r="AW189" s="108"/>
      <c r="AX189" s="724"/>
      <c r="AY189" s="53"/>
      <c r="AZ189" s="108"/>
      <c r="BA189" s="771"/>
      <c r="BB189" s="108"/>
      <c r="BC189" s="724"/>
      <c r="BD189" s="724"/>
      <c r="BE189" s="724"/>
      <c r="BF189" s="634"/>
      <c r="BG189" s="108"/>
      <c r="BH189" s="725"/>
      <c r="BI189" s="725"/>
      <c r="BJ189" s="725"/>
      <c r="BK189" s="725"/>
      <c r="BL189" s="725"/>
      <c r="BM189" s="725"/>
      <c r="BN189" s="475"/>
      <c r="BO189" s="475"/>
      <c r="BP189" s="475"/>
      <c r="BY189" s="14">
        <v>9.9860000000000007</v>
      </c>
    </row>
    <row r="190" spans="1:77" ht="15" customHeight="1" x14ac:dyDescent="0.2">
      <c r="A190" s="782" t="str">
        <f>'r-in'!A144</f>
        <v>079_U</v>
      </c>
      <c r="B190" s="707" t="s">
        <v>1129</v>
      </c>
      <c r="C190" s="162">
        <f>'r-in'!P144</f>
        <v>1318.2097168302171</v>
      </c>
      <c r="D190" s="162">
        <f>'r-in'!Q144</f>
        <v>13.035143189562715</v>
      </c>
      <c r="E190" s="81">
        <f>'r-in'!R144</f>
        <v>326679.597103782</v>
      </c>
      <c r="F190" s="162">
        <f>'r-in'!S144</f>
        <v>5.6268155965980728</v>
      </c>
      <c r="G190" s="81">
        <f>'r-in'!T144</f>
        <v>1319.5162777382334</v>
      </c>
      <c r="H190" s="162">
        <f>'r-in'!U144</f>
        <v>12.857136146455117</v>
      </c>
      <c r="I190" s="81">
        <f>'r-in'!V144</f>
        <v>1318.8072319705532</v>
      </c>
      <c r="J190" s="162">
        <f>'r-in'!W144</f>
        <v>9.3751578164359071</v>
      </c>
      <c r="K190" s="81">
        <f>'r-in'!X144</f>
        <v>1407908.7509625526</v>
      </c>
      <c r="L190" s="162">
        <f>'r-in'!Y144</f>
        <v>6.0491954594923145</v>
      </c>
      <c r="M190" s="81">
        <f>'r-in'!Z144</f>
        <v>1340.1834896824744</v>
      </c>
      <c r="N190" s="162">
        <f>'r-in'!AA144</f>
        <v>18.133270120946154</v>
      </c>
      <c r="O190" s="81">
        <f>'r-in'!AB144</f>
        <v>290203.37059357727</v>
      </c>
      <c r="P190" s="162">
        <f>'r-in'!AC144</f>
        <v>6.3430774700838226</v>
      </c>
      <c r="Q190" s="81">
        <f>'r-in'!AD144</f>
        <v>1331483.586073006</v>
      </c>
      <c r="R190" s="162">
        <f>'r-in'!AE144</f>
        <v>6.3997734669763044</v>
      </c>
      <c r="S190" s="157">
        <f>'r-in'!AF144</f>
        <v>4.5568661682664855</v>
      </c>
      <c r="T190" s="157">
        <f>'r-in'!AG144</f>
        <v>6.7825025033059677E-2</v>
      </c>
      <c r="U190" s="157">
        <f>'r-in'!AH144</f>
        <v>4.5834179210612183</v>
      </c>
      <c r="V190" s="157">
        <f>'r-in'!AI144</f>
        <v>6.5764828363917352E-2</v>
      </c>
      <c r="W190" s="158">
        <v>79</v>
      </c>
      <c r="X190" s="764">
        <f t="shared" si="93"/>
        <v>0.8805143479003078</v>
      </c>
      <c r="Y190" s="387">
        <f t="shared" si="101"/>
        <v>4.0357652419178027</v>
      </c>
      <c r="Z190" s="640">
        <f t="shared" si="102"/>
        <v>6.7825025033059677E-2</v>
      </c>
      <c r="AA190" s="473">
        <f t="shared" si="104"/>
        <v>-4.6207320464168866</v>
      </c>
      <c r="AB190" s="478">
        <f t="shared" si="105"/>
        <v>0.67511623766336459</v>
      </c>
      <c r="AC190" s="108">
        <v>1</v>
      </c>
      <c r="AD190" s="159">
        <f t="shared" si="96"/>
        <v>7.1336235325154998E-2</v>
      </c>
      <c r="AE190" s="160">
        <v>285</v>
      </c>
      <c r="AF190" s="160">
        <v>14</v>
      </c>
      <c r="AG190" s="160">
        <v>2.1</v>
      </c>
      <c r="AH190" s="303">
        <f t="shared" si="103"/>
        <v>0.40112364126821165</v>
      </c>
      <c r="AI190" s="86">
        <f t="shared" si="106"/>
        <v>993.50842352823679</v>
      </c>
      <c r="AJ190" s="86"/>
      <c r="AK190" s="86"/>
      <c r="AL190" s="775"/>
      <c r="AM190" s="775"/>
      <c r="AN190" s="536"/>
      <c r="AP190" s="53"/>
      <c r="AQ190" s="108"/>
      <c r="AR190" s="108"/>
      <c r="AS190" s="724"/>
      <c r="AT190" s="724"/>
      <c r="AU190" s="724"/>
      <c r="AV190" s="634"/>
      <c r="AW190" s="108"/>
      <c r="AX190" s="725"/>
      <c r="AY190" s="53"/>
      <c r="AZ190" s="108"/>
      <c r="BA190" s="771"/>
      <c r="BB190" s="108"/>
      <c r="BC190" s="724"/>
      <c r="BD190" s="724"/>
      <c r="BE190" s="724"/>
      <c r="BF190" s="634"/>
      <c r="BG190" s="108"/>
      <c r="BH190" s="725"/>
      <c r="BI190" s="725"/>
      <c r="BJ190" s="725"/>
      <c r="BK190" s="725"/>
      <c r="BL190" s="634"/>
      <c r="BM190" s="724"/>
      <c r="BN190" s="475"/>
      <c r="BO190" s="475"/>
      <c r="BP190" s="10"/>
      <c r="BY190" s="14">
        <v>9.9860000000000007</v>
      </c>
    </row>
    <row r="191" spans="1:77" ht="15" customHeight="1" x14ac:dyDescent="0.2">
      <c r="A191" s="782" t="str">
        <f>'r-in'!A145</f>
        <v>080_U</v>
      </c>
      <c r="B191" s="707" t="s">
        <v>1129</v>
      </c>
      <c r="C191" s="162">
        <f>'r-in'!P145</f>
        <v>855.64750355694684</v>
      </c>
      <c r="D191" s="162">
        <f>'r-in'!Q145</f>
        <v>23.64274354281833</v>
      </c>
      <c r="E191" s="81">
        <f>'r-in'!R145</f>
        <v>571913.29668517562</v>
      </c>
      <c r="F191" s="162">
        <f>'r-in'!S145</f>
        <v>4.7308763233183617</v>
      </c>
      <c r="G191" s="81">
        <f>'r-in'!T145</f>
        <v>1290.2315071904386</v>
      </c>
      <c r="H191" s="162">
        <f>'r-in'!U145</f>
        <v>14.799645337511535</v>
      </c>
      <c r="I191" s="81">
        <f>'r-in'!V145</f>
        <v>1054.3910296535082</v>
      </c>
      <c r="J191" s="162">
        <f>'r-in'!W145</f>
        <v>12.262103842827898</v>
      </c>
      <c r="K191" s="81">
        <f>'r-in'!X145</f>
        <v>2547091.1506084451</v>
      </c>
      <c r="L191" s="162">
        <f>'r-in'!Y145</f>
        <v>4.9512950235964102</v>
      </c>
      <c r="M191" s="81">
        <f>'r-in'!Z145</f>
        <v>2190.4558753976557</v>
      </c>
      <c r="N191" s="162">
        <f>'r-in'!AA145</f>
        <v>10.446210687407918</v>
      </c>
      <c r="O191" s="81">
        <f>'r-in'!AB145</f>
        <v>535792.12776505924</v>
      </c>
      <c r="P191" s="162">
        <f>'r-in'!AC145</f>
        <v>5.0551258443819451</v>
      </c>
      <c r="Q191" s="81">
        <f>'r-in'!AD145</f>
        <v>2470595.8234037869</v>
      </c>
      <c r="R191" s="162">
        <f>'r-in'!AE145</f>
        <v>5.1045234703769937</v>
      </c>
      <c r="S191" s="157">
        <f>'r-in'!AF145</f>
        <v>4.5929456147230967</v>
      </c>
      <c r="T191" s="157">
        <f>'r-in'!AG145</f>
        <v>3.8345066792718416E-2</v>
      </c>
      <c r="U191" s="157">
        <f>'r-in'!AH145</f>
        <v>4.6065132488817246</v>
      </c>
      <c r="V191" s="157">
        <f>'r-in'!AI145</f>
        <v>5.3215847381832278E-2</v>
      </c>
      <c r="W191" s="158">
        <v>80</v>
      </c>
      <c r="X191" s="764">
        <f t="shared" si="93"/>
        <v>0.88053288955908471</v>
      </c>
      <c r="Y191" s="387">
        <f t="shared" si="101"/>
        <v>4.0561864218300325</v>
      </c>
      <c r="Z191" s="640">
        <f t="shared" si="102"/>
        <v>3.8345066792718416E-2</v>
      </c>
      <c r="AA191" s="473">
        <f t="shared" si="104"/>
        <v>0.41593829819519534</v>
      </c>
      <c r="AB191" s="478">
        <f t="shared" si="105"/>
        <v>0.38361015974541779</v>
      </c>
      <c r="AC191" s="108">
        <v>1</v>
      </c>
      <c r="AD191" s="159">
        <f t="shared" si="96"/>
        <v>7.1336235325154998E-2</v>
      </c>
      <c r="AE191" s="160">
        <v>285</v>
      </c>
      <c r="AF191" s="160">
        <v>14</v>
      </c>
      <c r="AG191" s="160">
        <v>2.1</v>
      </c>
      <c r="AH191" s="303">
        <f t="shared" si="103"/>
        <v>0.7452520476998532</v>
      </c>
      <c r="AI191" s="86">
        <f t="shared" si="106"/>
        <v>1127.8911623614763</v>
      </c>
      <c r="AJ191" s="86"/>
      <c r="AK191" s="86"/>
      <c r="AL191" s="86"/>
      <c r="AM191" s="86"/>
      <c r="AN191" s="536"/>
      <c r="AP191" s="53"/>
      <c r="AQ191" s="108"/>
      <c r="AR191" s="110"/>
      <c r="AS191" s="724"/>
      <c r="AT191" s="750"/>
      <c r="AU191" s="750"/>
      <c r="AV191" s="751"/>
      <c r="AW191" s="108"/>
      <c r="AX191" s="724"/>
      <c r="AY191" s="53"/>
      <c r="AZ191" s="108"/>
      <c r="BA191" s="771"/>
      <c r="BB191" s="108"/>
      <c r="BC191" s="724"/>
      <c r="BD191" s="724"/>
      <c r="BE191" s="724"/>
      <c r="BF191" s="634"/>
      <c r="BG191" s="108"/>
      <c r="BH191" s="725"/>
      <c r="BI191" s="725"/>
      <c r="BJ191" s="725"/>
      <c r="BK191" s="725"/>
      <c r="BL191" s="725"/>
      <c r="BM191" s="725"/>
      <c r="BN191" s="475"/>
      <c r="BO191" s="475"/>
      <c r="BP191" s="475"/>
      <c r="BY191" s="14">
        <v>9.9860000000000007</v>
      </c>
    </row>
    <row r="192" spans="1:77" ht="15" customHeight="1" x14ac:dyDescent="0.2">
      <c r="A192" s="782" t="str">
        <f>'r-in'!A146</f>
        <v>081_U</v>
      </c>
      <c r="B192" s="707" t="s">
        <v>1129</v>
      </c>
      <c r="C192" s="162">
        <f>'r-in'!P146</f>
        <v>1333.8499538182737</v>
      </c>
      <c r="D192" s="162">
        <f>'r-in'!Q146</f>
        <v>12.859015181644445</v>
      </c>
      <c r="E192" s="81">
        <f>'r-in'!R146</f>
        <v>559827.44676192955</v>
      </c>
      <c r="F192" s="162">
        <f>'r-in'!S146</f>
        <v>3.3881112202467532</v>
      </c>
      <c r="G192" s="81">
        <f>'r-in'!T146</f>
        <v>1151.259055001462</v>
      </c>
      <c r="H192" s="162">
        <f>'r-in'!U146</f>
        <v>17.916073646183175</v>
      </c>
      <c r="I192" s="81">
        <f>'r-in'!V146</f>
        <v>1250.3476648233066</v>
      </c>
      <c r="J192" s="162">
        <f>'r-in'!W146</f>
        <v>10.147824327653968</v>
      </c>
      <c r="K192" s="81">
        <f>'r-in'!X146</f>
        <v>2482186.0241343789</v>
      </c>
      <c r="L192" s="162">
        <f>'r-in'!Y146</f>
        <v>3.5528141718485076</v>
      </c>
      <c r="M192" s="81">
        <f>'r-in'!Z146</f>
        <v>2115.5439313514148</v>
      </c>
      <c r="N192" s="162">
        <f>'r-in'!AA146</f>
        <v>9.7416245461919182</v>
      </c>
      <c r="O192" s="81">
        <f>'r-in'!AB146</f>
        <v>523733.50364917709</v>
      </c>
      <c r="P192" s="162">
        <f>'r-in'!AC146</f>
        <v>3.6234210327369825</v>
      </c>
      <c r="Q192" s="81">
        <f>'r-in'!AD146</f>
        <v>2405876.5458614156</v>
      </c>
      <c r="R192" s="162">
        <f>'r-in'!AE146</f>
        <v>3.66371218600935</v>
      </c>
      <c r="S192" s="157">
        <f>'r-in'!AF146</f>
        <v>4.5777510319944064</v>
      </c>
      <c r="T192" s="157">
        <f>'r-in'!AG146</f>
        <v>4.184790772864283E-2</v>
      </c>
      <c r="U192" s="157">
        <f>'r-in'!AH146</f>
        <v>4.5908255075051709</v>
      </c>
      <c r="V192" s="157">
        <f>'r-in'!AI146</f>
        <v>5.1563785792372183E-2</v>
      </c>
      <c r="W192" s="158">
        <v>81</v>
      </c>
      <c r="X192" s="764">
        <f t="shared" ref="X192:X255" si="107">$X$125 * Tb1Prim11B10B/($L$31 + $M$31*Tb1Order + IF($K$31&gt; 1,$N$31*Tb1Order^2) + IF($K$31&gt; 2,$O$31*Tb1Order^3) + IF($K$31&gt; 3,$P$31*Tb1Order^4) + IF($K$31&gt; 4,$Q$31*Tb1Order^5) + IF($K$31&gt; 5,$R$31*Tb1Order^6))</f>
        <v>0.88055174280813941</v>
      </c>
      <c r="Y192" s="387">
        <f t="shared" si="101"/>
        <v>4.0424594015617394</v>
      </c>
      <c r="Z192" s="640">
        <f t="shared" si="102"/>
        <v>4.184790772864283E-2</v>
      </c>
      <c r="AA192" s="473">
        <f t="shared" si="104"/>
        <v>-2.9696876157998542</v>
      </c>
      <c r="AB192" s="478">
        <f t="shared" si="105"/>
        <v>0.41723632515300313</v>
      </c>
      <c r="AC192" s="108">
        <v>1</v>
      </c>
      <c r="AD192" s="159">
        <f t="shared" ref="AD192:AD255" si="108">($AQ$27*$AR$27^2)/ (35*Tb1SpotSize^2)/$AD$127</f>
        <v>7.1336235325154998E-2</v>
      </c>
      <c r="AE192" s="160">
        <v>285</v>
      </c>
      <c r="AF192" s="160">
        <v>14</v>
      </c>
      <c r="AG192" s="160">
        <v>2.1</v>
      </c>
      <c r="AH192" s="303">
        <f t="shared" si="103"/>
        <v>0.72665346168703759</v>
      </c>
      <c r="AI192" s="86">
        <f t="shared" si="106"/>
        <v>1137.2378092496219</v>
      </c>
      <c r="AJ192" s="86"/>
      <c r="AK192" s="86"/>
      <c r="AL192" s="775"/>
      <c r="AM192" s="775"/>
      <c r="AN192" s="536"/>
      <c r="AP192" s="53"/>
      <c r="AQ192" s="108"/>
      <c r="AR192" s="108"/>
      <c r="AS192" s="724"/>
      <c r="AT192" s="724"/>
      <c r="AU192" s="724"/>
      <c r="AV192" s="634"/>
      <c r="AW192" s="108"/>
      <c r="AX192" s="725"/>
      <c r="AY192" s="53"/>
      <c r="AZ192" s="108"/>
      <c r="BA192" s="771"/>
      <c r="BB192" s="108"/>
      <c r="BC192" s="724"/>
      <c r="BD192" s="724"/>
      <c r="BE192" s="724"/>
      <c r="BF192" s="634"/>
      <c r="BG192" s="108"/>
      <c r="BH192" s="725"/>
      <c r="BI192" s="725"/>
      <c r="BJ192" s="725"/>
      <c r="BK192" s="725"/>
      <c r="BL192" s="634"/>
      <c r="BM192" s="724"/>
      <c r="BN192" s="475"/>
      <c r="BO192" s="475"/>
      <c r="BP192" s="10"/>
      <c r="BY192" s="14">
        <v>9.9860000000000007</v>
      </c>
    </row>
    <row r="193" spans="1:77" ht="15" customHeight="1" x14ac:dyDescent="0.2">
      <c r="A193" s="782" t="str">
        <f>'r-in'!A147</f>
        <v>082_U</v>
      </c>
      <c r="B193" s="707" t="s">
        <v>1129</v>
      </c>
      <c r="C193" s="162">
        <f>'r-in'!P147</f>
        <v>889.81262396320926</v>
      </c>
      <c r="D193" s="162">
        <f>'r-in'!Q147</f>
        <v>20.234260901575212</v>
      </c>
      <c r="E193" s="81">
        <f>'r-in'!R147</f>
        <v>650489.45597444731</v>
      </c>
      <c r="F193" s="162">
        <f>'r-in'!S147</f>
        <v>4.2242117492266331</v>
      </c>
      <c r="G193" s="81">
        <f>'r-in'!T147</f>
        <v>1330.2501113471146</v>
      </c>
      <c r="H193" s="162">
        <f>'r-in'!U147</f>
        <v>11.759105331100253</v>
      </c>
      <c r="I193" s="81">
        <f>'r-in'!V147</f>
        <v>1091.233059450773</v>
      </c>
      <c r="J193" s="162">
        <f>'r-in'!W147</f>
        <v>11.406526565906567</v>
      </c>
      <c r="K193" s="81">
        <f>'r-in'!X147</f>
        <v>2902096.5530180326</v>
      </c>
      <c r="L193" s="162">
        <f>'r-in'!Y147</f>
        <v>4.4226616115306543</v>
      </c>
      <c r="M193" s="81">
        <f>'r-in'!Z147</f>
        <v>1489.7898774469111</v>
      </c>
      <c r="N193" s="162">
        <f>'r-in'!AA147</f>
        <v>15.875734117881279</v>
      </c>
      <c r="O193" s="81">
        <f>'r-in'!AB147</f>
        <v>614583.01863840315</v>
      </c>
      <c r="P193" s="162">
        <f>'r-in'!AC147</f>
        <v>4.4745985803275081</v>
      </c>
      <c r="Q193" s="81">
        <f>'r-in'!AD147</f>
        <v>2826984.2574920715</v>
      </c>
      <c r="R193" s="162">
        <f>'r-in'!AE147</f>
        <v>4.5403949925983413</v>
      </c>
      <c r="S193" s="157">
        <f>'r-in'!AF147</f>
        <v>4.5801329531915638</v>
      </c>
      <c r="T193" s="157">
        <f>'r-in'!AG147</f>
        <v>6.4020166420398941E-2</v>
      </c>
      <c r="U193" s="157">
        <f>'r-in'!AH147</f>
        <v>4.5930100356772119</v>
      </c>
      <c r="V193" s="157">
        <f>'r-in'!AI147</f>
        <v>6.2820817571129367E-2</v>
      </c>
      <c r="W193" s="158">
        <v>82</v>
      </c>
      <c r="X193" s="764">
        <f t="shared" si="107"/>
        <v>0.88057089679405443</v>
      </c>
      <c r="Y193" s="387">
        <f t="shared" si="101"/>
        <v>4.0444709661003744</v>
      </c>
      <c r="Z193" s="640">
        <f t="shared" si="102"/>
        <v>6.4020166420398941E-2</v>
      </c>
      <c r="AA193" s="473">
        <f t="shared" si="104"/>
        <v>-2.4735562707178804</v>
      </c>
      <c r="AB193" s="478">
        <f t="shared" si="105"/>
        <v>0.63861808936294118</v>
      </c>
      <c r="AC193" s="108">
        <v>1</v>
      </c>
      <c r="AD193" s="159">
        <f t="shared" si="108"/>
        <v>7.1336235325154998E-2</v>
      </c>
      <c r="AE193" s="160">
        <v>285</v>
      </c>
      <c r="AF193" s="160">
        <v>14</v>
      </c>
      <c r="AG193" s="160">
        <v>2.1</v>
      </c>
      <c r="AH193" s="303">
        <f t="shared" si="103"/>
        <v>0.85491606730533598</v>
      </c>
      <c r="AI193" s="86">
        <f t="shared" si="106"/>
        <v>1897.5724699759289</v>
      </c>
      <c r="AJ193" s="86"/>
      <c r="AK193" s="86"/>
      <c r="AL193" s="86"/>
      <c r="AM193" s="86"/>
      <c r="AN193" s="536"/>
      <c r="AP193" s="53"/>
      <c r="AQ193" s="108"/>
      <c r="AR193" s="110"/>
      <c r="AS193" s="724"/>
      <c r="AT193" s="750"/>
      <c r="AU193" s="750"/>
      <c r="AV193" s="751"/>
      <c r="AW193" s="108"/>
      <c r="AX193" s="724"/>
      <c r="AY193" s="53"/>
      <c r="AZ193" s="108"/>
      <c r="BA193" s="771"/>
      <c r="BB193" s="108"/>
      <c r="BC193" s="724"/>
      <c r="BD193" s="724"/>
      <c r="BE193" s="724"/>
      <c r="BF193" s="634"/>
      <c r="BG193" s="108"/>
      <c r="BH193" s="725"/>
      <c r="BI193" s="725"/>
      <c r="BJ193" s="725"/>
      <c r="BK193" s="725"/>
      <c r="BL193" s="725"/>
      <c r="BM193" s="725"/>
      <c r="BN193" s="475"/>
      <c r="BO193" s="475"/>
      <c r="BP193" s="475"/>
      <c r="BY193" s="14">
        <v>9.9860000000000007</v>
      </c>
    </row>
    <row r="194" spans="1:77" ht="15" customHeight="1" x14ac:dyDescent="0.2">
      <c r="A194" s="782" t="str">
        <f>'r-in'!A148</f>
        <v>083_U</v>
      </c>
      <c r="B194" s="707" t="s">
        <v>1129</v>
      </c>
      <c r="C194" s="162">
        <f>'r-in'!P148</f>
        <v>1627.214879865254</v>
      </c>
      <c r="D194" s="162">
        <f>'r-in'!Q148</f>
        <v>11.898518879098546</v>
      </c>
      <c r="E194" s="81">
        <f>'r-in'!R148</f>
        <v>580815.82400389004</v>
      </c>
      <c r="F194" s="162">
        <f>'r-in'!S148</f>
        <v>6.6172432056365</v>
      </c>
      <c r="G194" s="81">
        <f>'r-in'!T148</f>
        <v>1214.6722702891984</v>
      </c>
      <c r="H194" s="162">
        <f>'r-in'!U148</f>
        <v>13.044506707503629</v>
      </c>
      <c r="I194" s="81">
        <f>'r-in'!V148</f>
        <v>1438.5513022675636</v>
      </c>
      <c r="J194" s="162">
        <f>'r-in'!W148</f>
        <v>8.7132325215538735</v>
      </c>
      <c r="K194" s="81">
        <f>'r-in'!X148</f>
        <v>2591409.0955904275</v>
      </c>
      <c r="L194" s="162">
        <f>'r-in'!Y148</f>
        <v>6.92914692050591</v>
      </c>
      <c r="M194" s="81">
        <f>'r-in'!Z148</f>
        <v>2361.8488470858865</v>
      </c>
      <c r="N194" s="162">
        <f>'r-in'!AA148</f>
        <v>9.8724912687367716</v>
      </c>
      <c r="O194" s="81">
        <f>'r-in'!AB148</f>
        <v>544285.93209042982</v>
      </c>
      <c r="P194" s="162">
        <f>'r-in'!AC148</f>
        <v>7.066076224160768</v>
      </c>
      <c r="Q194" s="81">
        <f>'r-in'!AD148</f>
        <v>2514129.9354469194</v>
      </c>
      <c r="R194" s="162">
        <f>'r-in'!AE148</f>
        <v>7.1409595898447016</v>
      </c>
      <c r="S194" s="157">
        <f>'r-in'!AF148</f>
        <v>4.5876706741420783</v>
      </c>
      <c r="T194" s="157">
        <f>'r-in'!AG148</f>
        <v>8.1001829687186E-2</v>
      </c>
      <c r="U194" s="157">
        <f>'r-in'!AH148</f>
        <v>4.6062667097862553</v>
      </c>
      <c r="V194" s="157">
        <f>'r-in'!AI148</f>
        <v>7.2945718816634947E-2</v>
      </c>
      <c r="W194" s="158">
        <v>83</v>
      </c>
      <c r="X194" s="764">
        <f t="shared" si="107"/>
        <v>0.88059034077941256</v>
      </c>
      <c r="Y194" s="387">
        <f t="shared" ref="Y194:Y257" si="109">U194*X194</f>
        <v>4.0562339716915421</v>
      </c>
      <c r="Z194" s="640">
        <f t="shared" ref="Z194:Z257" si="110">T194</f>
        <v>8.1001829687186E-2</v>
      </c>
      <c r="AA194" s="473">
        <f t="shared" si="104"/>
        <v>0.42766597398991024</v>
      </c>
      <c r="AB194" s="478">
        <f t="shared" si="105"/>
        <v>0.81036471413564737</v>
      </c>
      <c r="AC194" s="108">
        <v>1</v>
      </c>
      <c r="AD194" s="159">
        <f t="shared" si="108"/>
        <v>7.1336235325154998E-2</v>
      </c>
      <c r="AE194" s="160">
        <v>285</v>
      </c>
      <c r="AF194" s="160">
        <v>14</v>
      </c>
      <c r="AG194" s="160">
        <v>2.1</v>
      </c>
      <c r="AH194" s="303">
        <f t="shared" ref="AH194:AH257" si="111">Q194*AD194*$AH$18 /($L$33 + $M$33*Tb1Order + IF($K$33&gt; 1,$N$33*Tb1Order^2) + IF($K$33&gt; 2,$O$33*Tb1Order^3) + IF($K$33&gt; 3,$P$33*Tb1Order^4) + IF($K$33&gt; 4,$Q$33*Tb1Order^5) + IF($K$33&gt; 5,$R$33*Tb1Order^6))</f>
        <v>0.76125031338937987</v>
      </c>
      <c r="AI194" s="86">
        <f t="shared" si="106"/>
        <v>1064.4753742598396</v>
      </c>
      <c r="AJ194" s="86"/>
      <c r="AK194" s="86"/>
      <c r="AL194" s="775"/>
      <c r="AM194" s="775"/>
      <c r="AN194" s="536"/>
      <c r="AP194" s="53"/>
      <c r="AQ194" s="108"/>
      <c r="AR194" s="108"/>
      <c r="AS194" s="724"/>
      <c r="AT194" s="724"/>
      <c r="AU194" s="724"/>
      <c r="AV194" s="634"/>
      <c r="AW194" s="108"/>
      <c r="AX194" s="725"/>
      <c r="AY194" s="53"/>
      <c r="AZ194" s="108"/>
      <c r="BA194" s="771"/>
      <c r="BB194" s="108"/>
      <c r="BC194" s="724"/>
      <c r="BD194" s="724"/>
      <c r="BE194" s="724"/>
      <c r="BF194" s="634"/>
      <c r="BG194" s="108"/>
      <c r="BH194" s="725"/>
      <c r="BI194" s="725"/>
      <c r="BJ194" s="725"/>
      <c r="BK194" s="725"/>
      <c r="BL194" s="634"/>
      <c r="BM194" s="724"/>
      <c r="BN194" s="475"/>
      <c r="BO194" s="475"/>
      <c r="BP194" s="10"/>
      <c r="BY194" s="14">
        <v>9.9860000000000007</v>
      </c>
    </row>
    <row r="195" spans="1:77" ht="15" customHeight="1" x14ac:dyDescent="0.2">
      <c r="A195" s="782" t="str">
        <f>'r-in'!A149</f>
        <v>084_U</v>
      </c>
      <c r="B195" s="707" t="s">
        <v>1129</v>
      </c>
      <c r="C195" s="162">
        <f>'r-in'!P149</f>
        <v>1207.4690120200771</v>
      </c>
      <c r="D195" s="162">
        <f>'r-in'!Q149</f>
        <v>16.341613872373998</v>
      </c>
      <c r="E195" s="81">
        <f>'r-in'!R149</f>
        <v>533747.52685164742</v>
      </c>
      <c r="F195" s="162">
        <f>'r-in'!S149</f>
        <v>3.0345063124289942</v>
      </c>
      <c r="G195" s="81">
        <f>'r-in'!T149</f>
        <v>1419.4926900305504</v>
      </c>
      <c r="H195" s="162">
        <f>'r-in'!U149</f>
        <v>11.742422454142462</v>
      </c>
      <c r="I195" s="81">
        <f>'r-in'!V149</f>
        <v>1304.4314704434221</v>
      </c>
      <c r="J195" s="162">
        <f>'r-in'!W149</f>
        <v>11.094408451474969</v>
      </c>
      <c r="K195" s="81">
        <f>'r-in'!X149</f>
        <v>2364322.925466131</v>
      </c>
      <c r="L195" s="162">
        <f>'r-in'!Y149</f>
        <v>3.1887727986120682</v>
      </c>
      <c r="M195" s="81">
        <f>'r-in'!Z149</f>
        <v>1504.3139314382836</v>
      </c>
      <c r="N195" s="162">
        <f>'r-in'!AA149</f>
        <v>14.752064431329615</v>
      </c>
      <c r="O195" s="81">
        <f>'r-in'!AB149</f>
        <v>497645.604378719</v>
      </c>
      <c r="P195" s="162">
        <f>'r-in'!AC149</f>
        <v>3.2543740463971131</v>
      </c>
      <c r="Q195" s="81">
        <f>'r-in'!AD149</f>
        <v>2289329.2486054194</v>
      </c>
      <c r="R195" s="162">
        <f>'r-in'!AE149</f>
        <v>3.2934781769877706</v>
      </c>
      <c r="S195" s="157">
        <f>'r-in'!AF149</f>
        <v>4.5827322441766629</v>
      </c>
      <c r="T195" s="157">
        <f>'r-in'!AG149</f>
        <v>5.5344524521351399E-2</v>
      </c>
      <c r="U195" s="157">
        <f>'r-in'!AH149</f>
        <v>4.59731479075141</v>
      </c>
      <c r="V195" s="157">
        <f>'r-in'!AI149</f>
        <v>5.7871023434145664E-2</v>
      </c>
      <c r="W195" s="158">
        <v>84</v>
      </c>
      <c r="X195" s="764">
        <f t="shared" si="107"/>
        <v>0.88061006414274856</v>
      </c>
      <c r="Y195" s="387">
        <f t="shared" si="109"/>
        <v>4.0484416727680061</v>
      </c>
      <c r="Z195" s="640">
        <f t="shared" si="110"/>
        <v>5.5344524521351399E-2</v>
      </c>
      <c r="AA195" s="473">
        <f t="shared" ref="AA195:AA258" si="112">((Y195/AZ$29)-1)*1000</f>
        <v>-1.4942230193596417</v>
      </c>
      <c r="AB195" s="478">
        <f t="shared" ref="AB195:AB258" si="113">AA195-(((Y195-(Y195/100*Z195))/AZ$29)-1)*1000</f>
        <v>0.55261827458830126</v>
      </c>
      <c r="AC195" s="108">
        <v>1</v>
      </c>
      <c r="AD195" s="159">
        <f t="shared" si="108"/>
        <v>7.1336235325154998E-2</v>
      </c>
      <c r="AE195" s="160">
        <v>285</v>
      </c>
      <c r="AF195" s="160">
        <v>14</v>
      </c>
      <c r="AG195" s="160">
        <v>2.1</v>
      </c>
      <c r="AH195" s="303">
        <f t="shared" si="111"/>
        <v>0.6940349511318763</v>
      </c>
      <c r="AI195" s="86">
        <f t="shared" ref="AI195:AI258" si="114">Q195/M195</f>
        <v>1521.8427488845882</v>
      </c>
      <c r="AJ195" s="86"/>
      <c r="AK195" s="86"/>
      <c r="AL195" s="86"/>
      <c r="AM195" s="86"/>
      <c r="AN195" s="536"/>
      <c r="AP195" s="53"/>
      <c r="AQ195" s="108"/>
      <c r="AR195" s="110"/>
      <c r="AS195" s="724"/>
      <c r="AT195" s="750"/>
      <c r="AU195" s="750"/>
      <c r="AV195" s="751"/>
      <c r="AW195" s="108"/>
      <c r="AX195" s="724"/>
      <c r="AY195" s="53"/>
      <c r="AZ195" s="108"/>
      <c r="BA195" s="771"/>
      <c r="BB195" s="108"/>
      <c r="BC195" s="724"/>
      <c r="BD195" s="724"/>
      <c r="BE195" s="724"/>
      <c r="BF195" s="634"/>
      <c r="BG195" s="108"/>
      <c r="BH195" s="725"/>
      <c r="BI195" s="725"/>
      <c r="BJ195" s="725"/>
      <c r="BK195" s="725"/>
      <c r="BL195" s="725"/>
      <c r="BM195" s="725"/>
      <c r="BN195" s="475"/>
      <c r="BO195" s="475"/>
      <c r="BP195" s="475"/>
      <c r="BY195" s="14">
        <v>9.9860000000000007</v>
      </c>
    </row>
    <row r="196" spans="1:77" ht="15" customHeight="1" x14ac:dyDescent="0.2">
      <c r="A196" s="782" t="str">
        <f>'r-in'!A150</f>
        <v>085_U</v>
      </c>
      <c r="B196" s="707" t="s">
        <v>1129</v>
      </c>
      <c r="C196" s="162">
        <f>'r-in'!P150</f>
        <v>1463.8424359205662</v>
      </c>
      <c r="D196" s="162">
        <f>'r-in'!Q150</f>
        <v>10.565532988441928</v>
      </c>
      <c r="E196" s="81">
        <f>'r-in'!R150</f>
        <v>459780.58632376324</v>
      </c>
      <c r="F196" s="162">
        <f>'r-in'!S150</f>
        <v>6.987786693520782</v>
      </c>
      <c r="G196" s="81">
        <f>'r-in'!T150</f>
        <v>1409.9293375304221</v>
      </c>
      <c r="H196" s="162">
        <f>'r-in'!U150</f>
        <v>11.294785886392257</v>
      </c>
      <c r="I196" s="81">
        <f>'r-in'!V150</f>
        <v>1439.1869511644265</v>
      </c>
      <c r="J196" s="162">
        <f>'r-in'!W150</f>
        <v>7.8011607644356884</v>
      </c>
      <c r="K196" s="81">
        <f>'r-in'!X150</f>
        <v>2026788.4237023587</v>
      </c>
      <c r="L196" s="162">
        <f>'r-in'!Y150</f>
        <v>7.4065397479792026</v>
      </c>
      <c r="M196" s="81">
        <f>'r-in'!Z150</f>
        <v>1467.6224677008386</v>
      </c>
      <c r="N196" s="162">
        <f>'r-in'!AA150</f>
        <v>15.872655404387066</v>
      </c>
      <c r="O196" s="81">
        <f>'r-in'!AB150</f>
        <v>423552.90607157821</v>
      </c>
      <c r="P196" s="162">
        <f>'r-in'!AC150</f>
        <v>7.5877996148783602</v>
      </c>
      <c r="Q196" s="81">
        <f>'r-in'!AD150</f>
        <v>1951578.0645087112</v>
      </c>
      <c r="R196" s="162">
        <f>'r-in'!AE150</f>
        <v>7.6942311570760307</v>
      </c>
      <c r="S196" s="157">
        <f>'r-in'!AF150</f>
        <v>4.5669601062195797</v>
      </c>
      <c r="T196" s="157">
        <f>'r-in'!AG150</f>
        <v>7.6467593593333397E-2</v>
      </c>
      <c r="U196" s="157">
        <f>'r-in'!AH150</f>
        <v>4.5936754973167666</v>
      </c>
      <c r="V196" s="157">
        <f>'r-in'!AI150</f>
        <v>8.8160956543325564E-2</v>
      </c>
      <c r="W196" s="158">
        <v>85</v>
      </c>
      <c r="X196" s="764">
        <f t="shared" si="107"/>
        <v>0.88063005637850789</v>
      </c>
      <c r="Y196" s="387">
        <f t="shared" si="109"/>
        <v>4.0453287121866346</v>
      </c>
      <c r="Z196" s="640">
        <f t="shared" si="110"/>
        <v>7.6467593593333397E-2</v>
      </c>
      <c r="AA196" s="473">
        <f t="shared" si="112"/>
        <v>-2.2620021737244089</v>
      </c>
      <c r="AB196" s="478">
        <f t="shared" si="113"/>
        <v>0.76294623730388533</v>
      </c>
      <c r="AC196" s="108">
        <v>1</v>
      </c>
      <c r="AD196" s="159">
        <f t="shared" si="108"/>
        <v>7.1336235325154998E-2</v>
      </c>
      <c r="AE196" s="160">
        <v>285</v>
      </c>
      <c r="AF196" s="160">
        <v>14</v>
      </c>
      <c r="AG196" s="160">
        <v>2.1</v>
      </c>
      <c r="AH196" s="303">
        <f t="shared" si="111"/>
        <v>0.59236041016434382</v>
      </c>
      <c r="AI196" s="86">
        <f t="shared" si="114"/>
        <v>1329.7548296368291</v>
      </c>
      <c r="AJ196" s="86"/>
      <c r="AK196" s="86"/>
      <c r="AL196" s="775"/>
      <c r="AM196" s="775"/>
      <c r="AN196" s="536"/>
      <c r="AP196" s="53"/>
      <c r="AQ196" s="108"/>
      <c r="AR196" s="108"/>
      <c r="AS196" s="724"/>
      <c r="AT196" s="724"/>
      <c r="AU196" s="724"/>
      <c r="AV196" s="634"/>
      <c r="AW196" s="108"/>
      <c r="AX196" s="725"/>
      <c r="AY196" s="53"/>
      <c r="AZ196" s="108"/>
      <c r="BA196" s="771"/>
      <c r="BB196" s="108"/>
      <c r="BC196" s="724"/>
      <c r="BD196" s="724"/>
      <c r="BE196" s="724"/>
      <c r="BF196" s="634"/>
      <c r="BG196" s="108"/>
      <c r="BH196" s="725"/>
      <c r="BI196" s="725"/>
      <c r="BJ196" s="725"/>
      <c r="BK196" s="725"/>
      <c r="BL196" s="634"/>
      <c r="BM196" s="724"/>
      <c r="BN196" s="475"/>
      <c r="BO196" s="475"/>
      <c r="BP196" s="10"/>
      <c r="BY196" s="14">
        <v>9.9860000000000007</v>
      </c>
    </row>
    <row r="197" spans="1:77" ht="15" customHeight="1" x14ac:dyDescent="0.2">
      <c r="A197" s="782" t="str">
        <f>'r-in'!A151</f>
        <v>086_U</v>
      </c>
      <c r="B197" s="707" t="s">
        <v>1129</v>
      </c>
      <c r="C197" s="162">
        <f>'r-in'!P151</f>
        <v>1462.9054628392669</v>
      </c>
      <c r="D197" s="162">
        <f>'r-in'!Q151</f>
        <v>13.757532755041023</v>
      </c>
      <c r="E197" s="81">
        <f>'r-in'!R151</f>
        <v>336649.57248566544</v>
      </c>
      <c r="F197" s="162">
        <f>'r-in'!S151</f>
        <v>5.049236179701162</v>
      </c>
      <c r="G197" s="81">
        <f>'r-in'!T151</f>
        <v>1415.0202428580133</v>
      </c>
      <c r="H197" s="162">
        <f>'r-in'!U151</f>
        <v>12.453876371879783</v>
      </c>
      <c r="I197" s="81">
        <f>'r-in'!V151</f>
        <v>1441.0066414666098</v>
      </c>
      <c r="J197" s="162">
        <f>'r-in'!W151</f>
        <v>9.7019329583423222</v>
      </c>
      <c r="K197" s="81">
        <f>'r-in'!X151</f>
        <v>1457687.9979722416</v>
      </c>
      <c r="L197" s="162">
        <f>'r-in'!Y151</f>
        <v>5.3987067890414258</v>
      </c>
      <c r="M197" s="81">
        <f>'r-in'!Z151</f>
        <v>1799.6991763511508</v>
      </c>
      <c r="N197" s="162">
        <f>'r-in'!AA151</f>
        <v>12.313256798872674</v>
      </c>
      <c r="O197" s="81">
        <f>'r-in'!AB151</f>
        <v>300501.49598620663</v>
      </c>
      <c r="P197" s="162">
        <f>'r-in'!AC151</f>
        <v>5.6557551749039918</v>
      </c>
      <c r="Q197" s="81">
        <f>'r-in'!AD151</f>
        <v>1382869.5622765301</v>
      </c>
      <c r="R197" s="162">
        <f>'r-in'!AE151</f>
        <v>5.688529633998586</v>
      </c>
      <c r="S197" s="157">
        <f>'r-in'!AF151</f>
        <v>4.5727758032980033</v>
      </c>
      <c r="T197" s="157">
        <f>'r-in'!AG151</f>
        <v>7.7127971028132444E-2</v>
      </c>
      <c r="U197" s="157">
        <f>'r-in'!AH151</f>
        <v>4.5984925722476708</v>
      </c>
      <c r="V197" s="157">
        <f>'r-in'!AI151</f>
        <v>5.986143406450508E-2</v>
      </c>
      <c r="W197" s="158">
        <v>86</v>
      </c>
      <c r="X197" s="764">
        <f t="shared" si="107"/>
        <v>0.8806503070970052</v>
      </c>
      <c r="Y197" s="387">
        <f t="shared" si="109"/>
        <v>4.0496638959332083</v>
      </c>
      <c r="Z197" s="640">
        <f t="shared" si="110"/>
        <v>7.7127971028132444E-2</v>
      </c>
      <c r="AA197" s="473">
        <f t="shared" si="112"/>
        <v>-1.1927744646175187</v>
      </c>
      <c r="AB197" s="478">
        <f t="shared" si="113"/>
        <v>0.77035974753780767</v>
      </c>
      <c r="AC197" s="108">
        <v>1</v>
      </c>
      <c r="AD197" s="159">
        <f t="shared" si="108"/>
        <v>7.1336235325154998E-2</v>
      </c>
      <c r="AE197" s="160">
        <v>285</v>
      </c>
      <c r="AF197" s="160">
        <v>14</v>
      </c>
      <c r="AG197" s="160">
        <v>2.1</v>
      </c>
      <c r="AH197" s="303">
        <f t="shared" si="111"/>
        <v>0.42024452983508365</v>
      </c>
      <c r="AI197" s="86">
        <f t="shared" si="114"/>
        <v>768.38928441378005</v>
      </c>
      <c r="AJ197" s="86"/>
      <c r="AK197" s="86"/>
      <c r="AL197" s="86"/>
      <c r="AM197" s="86"/>
      <c r="AN197" s="536"/>
      <c r="AP197" s="53"/>
      <c r="AQ197" s="108"/>
      <c r="AR197" s="110"/>
      <c r="AS197" s="724"/>
      <c r="AT197" s="750"/>
      <c r="AU197" s="750"/>
      <c r="AV197" s="751"/>
      <c r="AW197" s="108"/>
      <c r="AX197" s="724"/>
      <c r="AY197" s="53"/>
      <c r="AZ197" s="108"/>
      <c r="BA197" s="771"/>
      <c r="BB197" s="108"/>
      <c r="BC197" s="724"/>
      <c r="BD197" s="724"/>
      <c r="BE197" s="724"/>
      <c r="BF197" s="634"/>
      <c r="BG197" s="108"/>
      <c r="BH197" s="725"/>
      <c r="BI197" s="725"/>
      <c r="BJ197" s="725"/>
      <c r="BK197" s="725"/>
      <c r="BL197" s="725"/>
      <c r="BM197" s="725"/>
      <c r="BN197" s="475"/>
      <c r="BO197" s="475"/>
      <c r="BP197" s="475"/>
      <c r="BY197" s="14">
        <v>9.9860000000000007</v>
      </c>
    </row>
    <row r="198" spans="1:77" ht="15" customHeight="1" x14ac:dyDescent="0.2">
      <c r="A198" s="782" t="str">
        <f>'r-in'!A152</f>
        <v>087_U</v>
      </c>
      <c r="B198" s="707" t="s">
        <v>1129</v>
      </c>
      <c r="C198" s="162">
        <f>'r-in'!P152</f>
        <v>1208.1004257507459</v>
      </c>
      <c r="D198" s="162">
        <f>'r-in'!Q152</f>
        <v>14.135328805921013</v>
      </c>
      <c r="E198" s="81">
        <f>'r-in'!R152</f>
        <v>509714.2044303703</v>
      </c>
      <c r="F198" s="162">
        <f>'r-in'!S152</f>
        <v>2.6939555261609409</v>
      </c>
      <c r="G198" s="81">
        <f>'r-in'!T152</f>
        <v>1252.5556483567516</v>
      </c>
      <c r="H198" s="162">
        <f>'r-in'!U152</f>
        <v>11.803479060481017</v>
      </c>
      <c r="I198" s="81">
        <f>'r-in'!V152</f>
        <v>1228.4306441210852</v>
      </c>
      <c r="J198" s="162">
        <f>'r-in'!W152</f>
        <v>8.7066448917269668</v>
      </c>
      <c r="K198" s="81">
        <f>'r-in'!X152</f>
        <v>2247791.5236581597</v>
      </c>
      <c r="L198" s="162">
        <f>'r-in'!Y152</f>
        <v>2.847489730365429</v>
      </c>
      <c r="M198" s="81">
        <f>'r-in'!Z152</f>
        <v>1787.7230653281636</v>
      </c>
      <c r="N198" s="162">
        <f>'r-in'!AA152</f>
        <v>11.769884005398811</v>
      </c>
      <c r="O198" s="81">
        <f>'r-in'!AB152</f>
        <v>473815.29547210678</v>
      </c>
      <c r="P198" s="162">
        <f>'r-in'!AC152</f>
        <v>2.8993366632934561</v>
      </c>
      <c r="Q198" s="81">
        <f>'r-in'!AD152</f>
        <v>2172808.2209361447</v>
      </c>
      <c r="R198" s="162">
        <f>'r-in'!AE152</f>
        <v>2.947238454177167</v>
      </c>
      <c r="S198" s="157">
        <f>'r-in'!AF152</f>
        <v>4.5659410171825732</v>
      </c>
      <c r="T198" s="157">
        <f>'r-in'!AG152</f>
        <v>4.5827112724830615E-2</v>
      </c>
      <c r="U198" s="157">
        <f>'r-in'!AH152</f>
        <v>4.5829270842047665</v>
      </c>
      <c r="V198" s="157">
        <f>'r-in'!AI152</f>
        <v>5.8412638835657796E-2</v>
      </c>
      <c r="W198" s="158">
        <v>87</v>
      </c>
      <c r="X198" s="764">
        <f t="shared" si="107"/>
        <v>0.88067080602439129</v>
      </c>
      <c r="Y198" s="387">
        <f t="shared" si="109"/>
        <v>4.0360500891976248</v>
      </c>
      <c r="Z198" s="640">
        <f t="shared" si="110"/>
        <v>4.5827112724830615E-2</v>
      </c>
      <c r="AA198" s="473">
        <f t="shared" si="112"/>
        <v>-4.5504774454002694</v>
      </c>
      <c r="AB198" s="478">
        <f t="shared" si="113"/>
        <v>0.45618577481976175</v>
      </c>
      <c r="AC198" s="108">
        <v>1</v>
      </c>
      <c r="AD198" s="159">
        <f t="shared" si="108"/>
        <v>7.1336235325154998E-2</v>
      </c>
      <c r="AE198" s="160">
        <v>285</v>
      </c>
      <c r="AF198" s="160">
        <v>14</v>
      </c>
      <c r="AG198" s="160">
        <v>2.1</v>
      </c>
      <c r="AH198" s="303">
        <f t="shared" si="111"/>
        <v>0.66108422456804106</v>
      </c>
      <c r="AI198" s="86">
        <f t="shared" si="114"/>
        <v>1215.4053740629524</v>
      </c>
      <c r="AJ198" s="86"/>
      <c r="AK198" s="86"/>
      <c r="AL198" s="775"/>
      <c r="AM198" s="775"/>
      <c r="AN198" s="536"/>
      <c r="AP198" s="53"/>
      <c r="AQ198" s="108"/>
      <c r="AR198" s="108"/>
      <c r="AS198" s="724"/>
      <c r="AT198" s="724"/>
      <c r="AU198" s="724"/>
      <c r="AV198" s="634"/>
      <c r="AW198" s="108"/>
      <c r="AX198" s="725"/>
      <c r="AY198" s="53"/>
      <c r="AZ198" s="108"/>
      <c r="BA198" s="771"/>
      <c r="BB198" s="108"/>
      <c r="BC198" s="724"/>
      <c r="BD198" s="724"/>
      <c r="BE198" s="724"/>
      <c r="BF198" s="634"/>
      <c r="BG198" s="108"/>
      <c r="BH198" s="725"/>
      <c r="BI198" s="725"/>
      <c r="BJ198" s="725"/>
      <c r="BK198" s="725"/>
      <c r="BL198" s="634"/>
      <c r="BM198" s="724"/>
      <c r="BN198" s="475"/>
      <c r="BO198" s="475"/>
      <c r="BP198" s="10"/>
      <c r="BY198" s="14">
        <v>9.9860000000000007</v>
      </c>
    </row>
    <row r="199" spans="1:77" ht="15" customHeight="1" x14ac:dyDescent="0.2">
      <c r="A199" s="782" t="str">
        <f>'r-in'!A153</f>
        <v>088_U</v>
      </c>
      <c r="B199" s="707" t="s">
        <v>1129</v>
      </c>
      <c r="C199" s="162">
        <f>'r-in'!P153</f>
        <v>955.68823131050021</v>
      </c>
      <c r="D199" s="162">
        <f>'r-in'!Q153</f>
        <v>18.092961003453116</v>
      </c>
      <c r="E199" s="81">
        <f>'r-in'!R153</f>
        <v>467759.22012079536</v>
      </c>
      <c r="F199" s="162">
        <f>'r-in'!S153</f>
        <v>3.4946303672489751</v>
      </c>
      <c r="G199" s="81">
        <f>'r-in'!T153</f>
        <v>1075.1187601031559</v>
      </c>
      <c r="H199" s="162">
        <f>'r-in'!U153</f>
        <v>15.074831138755219</v>
      </c>
      <c r="I199" s="81">
        <f>'r-in'!V153</f>
        <v>1010.3060824448627</v>
      </c>
      <c r="J199" s="162">
        <f>'r-in'!W153</f>
        <v>12.365017530924343</v>
      </c>
      <c r="K199" s="81">
        <f>'r-in'!X153</f>
        <v>2059225.1289151937</v>
      </c>
      <c r="L199" s="162">
        <f>'r-in'!Y153</f>
        <v>3.6776854867185449</v>
      </c>
      <c r="M199" s="81">
        <f>'r-in'!Z153</f>
        <v>1407.0697158840137</v>
      </c>
      <c r="N199" s="162">
        <f>'r-in'!AA153</f>
        <v>18.990896121665969</v>
      </c>
      <c r="O199" s="81">
        <f>'r-in'!AB153</f>
        <v>431990.51294655062</v>
      </c>
      <c r="P199" s="162">
        <f>'r-in'!AC153</f>
        <v>3.7819691621803671</v>
      </c>
      <c r="Q199" s="81">
        <f>'r-in'!AD153</f>
        <v>1984699.9303921252</v>
      </c>
      <c r="R199" s="162">
        <f>'r-in'!AE153</f>
        <v>3.8133460779040722</v>
      </c>
      <c r="S199" s="157">
        <f>'r-in'!AF153</f>
        <v>4.5781986358150535</v>
      </c>
      <c r="T199" s="157">
        <f>'r-in'!AG153</f>
        <v>5.4000434832392211E-2</v>
      </c>
      <c r="U199" s="157">
        <f>'r-in'!AH153</f>
        <v>4.591968052814023</v>
      </c>
      <c r="V199" s="157">
        <f>'r-in'!AI153</f>
        <v>5.0229088888626192E-2</v>
      </c>
      <c r="W199" s="158">
        <v>88</v>
      </c>
      <c r="X199" s="764">
        <f t="shared" si="107"/>
        <v>0.88069154300261787</v>
      </c>
      <c r="Y199" s="387">
        <f t="shared" si="109"/>
        <v>4.0441074298515085</v>
      </c>
      <c r="Z199" s="640">
        <f t="shared" si="110"/>
        <v>5.4000434832392211E-2</v>
      </c>
      <c r="AA199" s="473">
        <f t="shared" si="112"/>
        <v>-2.5632186825728098</v>
      </c>
      <c r="AB199" s="478">
        <f t="shared" si="113"/>
        <v>0.53862019908956782</v>
      </c>
      <c r="AC199" s="108">
        <v>1</v>
      </c>
      <c r="AD199" s="159">
        <f t="shared" si="108"/>
        <v>7.1336235325154998E-2</v>
      </c>
      <c r="AE199" s="160">
        <v>285</v>
      </c>
      <c r="AF199" s="160">
        <v>14</v>
      </c>
      <c r="AG199" s="160">
        <v>2.1</v>
      </c>
      <c r="AH199" s="303">
        <f t="shared" si="111"/>
        <v>0.60455893170812403</v>
      </c>
      <c r="AI199" s="86">
        <f t="shared" si="114"/>
        <v>1410.5199678362817</v>
      </c>
      <c r="AJ199" s="86"/>
      <c r="AK199" s="86"/>
      <c r="AL199" s="86"/>
      <c r="AM199" s="86"/>
      <c r="AN199" s="536"/>
      <c r="AP199" s="53"/>
      <c r="AQ199" s="108"/>
      <c r="AR199" s="110"/>
      <c r="AS199" s="724"/>
      <c r="AT199" s="750"/>
      <c r="AU199" s="750"/>
      <c r="AV199" s="751"/>
      <c r="AW199" s="108"/>
      <c r="AX199" s="724"/>
      <c r="AY199" s="53"/>
      <c r="AZ199" s="108"/>
      <c r="BA199" s="771"/>
      <c r="BB199" s="108"/>
      <c r="BC199" s="724"/>
      <c r="BD199" s="724"/>
      <c r="BE199" s="724"/>
      <c r="BF199" s="634"/>
      <c r="BG199" s="108"/>
      <c r="BH199" s="725"/>
      <c r="BI199" s="725"/>
      <c r="BJ199" s="725"/>
      <c r="BK199" s="725"/>
      <c r="BL199" s="725"/>
      <c r="BM199" s="725"/>
      <c r="BN199" s="475"/>
      <c r="BO199" s="475"/>
      <c r="BP199" s="475"/>
      <c r="BY199" s="14">
        <v>9.9860000000000007</v>
      </c>
    </row>
    <row r="200" spans="1:77" ht="15" customHeight="1" x14ac:dyDescent="0.2">
      <c r="A200" s="782" t="str">
        <f>'r-in'!A154</f>
        <v>089_U</v>
      </c>
      <c r="B200" s="707" t="s">
        <v>1129</v>
      </c>
      <c r="C200" s="162">
        <f>'r-in'!P154</f>
        <v>1267.5941320809595</v>
      </c>
      <c r="D200" s="162">
        <f>'r-in'!Q154</f>
        <v>12.21901049935407</v>
      </c>
      <c r="E200" s="81">
        <f>'r-in'!R154</f>
        <v>411714.00863561087</v>
      </c>
      <c r="F200" s="162">
        <f>'r-in'!S154</f>
        <v>3.9344421421200666</v>
      </c>
      <c r="G200" s="81">
        <f>'r-in'!T154</f>
        <v>1233.6079158124267</v>
      </c>
      <c r="H200" s="162">
        <f>'r-in'!U154</f>
        <v>12.82075418584669</v>
      </c>
      <c r="I200" s="81">
        <f>'r-in'!V154</f>
        <v>1252.0515893195718</v>
      </c>
      <c r="J200" s="162">
        <f>'r-in'!W154</f>
        <v>8.5841976549016934</v>
      </c>
      <c r="K200" s="81">
        <f>'r-in'!X154</f>
        <v>1801755.0500944217</v>
      </c>
      <c r="L200" s="162">
        <f>'r-in'!Y154</f>
        <v>4.1905156327777204</v>
      </c>
      <c r="M200" s="81">
        <f>'r-in'!Z154</f>
        <v>1973.4369691732559</v>
      </c>
      <c r="N200" s="162">
        <f>'r-in'!AA154</f>
        <v>12.401541854886416</v>
      </c>
      <c r="O200" s="81">
        <f>'r-in'!AB154</f>
        <v>375756.90737476869</v>
      </c>
      <c r="P200" s="162">
        <f>'r-in'!AC154</f>
        <v>4.3125402935521056</v>
      </c>
      <c r="Q200" s="81">
        <f>'r-in'!AD154</f>
        <v>1726272.2975785725</v>
      </c>
      <c r="R200" s="162">
        <f>'r-in'!AE154</f>
        <v>4.3710358224654726</v>
      </c>
      <c r="S200" s="157">
        <f>'r-in'!AF154</f>
        <v>4.5724750888841861</v>
      </c>
      <c r="T200" s="157">
        <f>'r-in'!AG154</f>
        <v>6.7155573113987135E-2</v>
      </c>
      <c r="U200" s="157">
        <f>'r-in'!AH154</f>
        <v>4.5887365266512337</v>
      </c>
      <c r="V200" s="157">
        <f>'r-in'!AI154</f>
        <v>7.0899287207352488E-2</v>
      </c>
      <c r="W200" s="158">
        <v>89</v>
      </c>
      <c r="X200" s="764">
        <f t="shared" si="107"/>
        <v>0.88071250798941114</v>
      </c>
      <c r="Y200" s="387">
        <f t="shared" si="109"/>
        <v>4.0413576548896275</v>
      </c>
      <c r="Z200" s="640">
        <f t="shared" si="110"/>
        <v>6.7155573113987135E-2</v>
      </c>
      <c r="AA200" s="473">
        <f t="shared" si="112"/>
        <v>-3.241421904149111</v>
      </c>
      <c r="AB200" s="478">
        <f t="shared" si="113"/>
        <v>0.6693789356829738</v>
      </c>
      <c r="AC200" s="108">
        <v>1</v>
      </c>
      <c r="AD200" s="159">
        <f t="shared" si="108"/>
        <v>7.1336235325154998E-2</v>
      </c>
      <c r="AE200" s="160">
        <v>285</v>
      </c>
      <c r="AF200" s="160">
        <v>14</v>
      </c>
      <c r="AG200" s="160">
        <v>2.1</v>
      </c>
      <c r="AH200" s="303">
        <f t="shared" si="111"/>
        <v>0.52644786893950513</v>
      </c>
      <c r="AI200" s="86">
        <f t="shared" si="114"/>
        <v>874.75421031651717</v>
      </c>
      <c r="AJ200" s="86"/>
      <c r="AK200" s="86"/>
      <c r="AL200" s="775"/>
      <c r="AM200" s="775"/>
      <c r="AN200" s="536"/>
      <c r="AP200" s="53"/>
      <c r="AQ200" s="108"/>
      <c r="AR200" s="108"/>
      <c r="AS200" s="724"/>
      <c r="AT200" s="724"/>
      <c r="AU200" s="724"/>
      <c r="AV200" s="634"/>
      <c r="AW200" s="108"/>
      <c r="AX200" s="725"/>
      <c r="AY200" s="53"/>
      <c r="AZ200" s="108"/>
      <c r="BA200" s="771"/>
      <c r="BB200" s="108"/>
      <c r="BC200" s="724"/>
      <c r="BD200" s="724"/>
      <c r="BE200" s="724"/>
      <c r="BF200" s="634"/>
      <c r="BG200" s="108"/>
      <c r="BH200" s="725"/>
      <c r="BI200" s="725"/>
      <c r="BJ200" s="725"/>
      <c r="BK200" s="725"/>
      <c r="BL200" s="634"/>
      <c r="BM200" s="724"/>
      <c r="BN200" s="475"/>
      <c r="BO200" s="475"/>
      <c r="BP200" s="10"/>
      <c r="BY200" s="14">
        <v>9.9860000000000007</v>
      </c>
    </row>
    <row r="201" spans="1:77" ht="15" customHeight="1" x14ac:dyDescent="0.2">
      <c r="A201" s="782" t="str">
        <f>'r-in'!A155</f>
        <v>090_U</v>
      </c>
      <c r="B201" s="707" t="s">
        <v>1129</v>
      </c>
      <c r="C201" s="162">
        <f>'r-in'!P155</f>
        <v>1062.2680421037601</v>
      </c>
      <c r="D201" s="162">
        <f>'r-in'!Q155</f>
        <v>18.199984814469346</v>
      </c>
      <c r="E201" s="81">
        <f>'r-in'!R155</f>
        <v>479704.60504847404</v>
      </c>
      <c r="F201" s="162">
        <f>'r-in'!S155</f>
        <v>2.0634601283987184</v>
      </c>
      <c r="G201" s="81">
        <f>'r-in'!T155</f>
        <v>1088.0850153456629</v>
      </c>
      <c r="H201" s="162">
        <f>'r-in'!U155</f>
        <v>17.656639157556256</v>
      </c>
      <c r="I201" s="81">
        <f>'r-in'!V155</f>
        <v>1074.0746347356499</v>
      </c>
      <c r="J201" s="162">
        <f>'r-in'!W155</f>
        <v>11.776817901959516</v>
      </c>
      <c r="K201" s="81">
        <f>'r-in'!X155</f>
        <v>2108727.3507499648</v>
      </c>
      <c r="L201" s="162">
        <f>'r-in'!Y155</f>
        <v>2.1847190237942899</v>
      </c>
      <c r="M201" s="81">
        <f>'r-in'!Z155</f>
        <v>1258.8824788513282</v>
      </c>
      <c r="N201" s="162">
        <f>'r-in'!AA155</f>
        <v>20.233086365029141</v>
      </c>
      <c r="O201" s="81">
        <f>'r-in'!AB155</f>
        <v>444102.25762775046</v>
      </c>
      <c r="P201" s="162">
        <f>'r-in'!AC155</f>
        <v>2.2337133066711057</v>
      </c>
      <c r="Q201" s="81">
        <f>'r-in'!AD155</f>
        <v>2034371.6105090166</v>
      </c>
      <c r="R201" s="162">
        <f>'r-in'!AE155</f>
        <v>2.2644478049553354</v>
      </c>
      <c r="S201" s="157">
        <f>'r-in'!AF155</f>
        <v>4.5663008661097972</v>
      </c>
      <c r="T201" s="157">
        <f>'r-in'!AG155</f>
        <v>3.9046728192996503E-2</v>
      </c>
      <c r="U201" s="157">
        <f>'r-in'!AH155</f>
        <v>4.5793627098378202</v>
      </c>
      <c r="V201" s="157">
        <f>'r-in'!AI155</f>
        <v>4.5068742977270593E-2</v>
      </c>
      <c r="W201" s="158">
        <v>90</v>
      </c>
      <c r="X201" s="764">
        <f t="shared" si="107"/>
        <v>0.88073369105824473</v>
      </c>
      <c r="Y201" s="387">
        <f t="shared" si="109"/>
        <v>4.0331990221299492</v>
      </c>
      <c r="Z201" s="640">
        <f t="shared" si="110"/>
        <v>3.9046728192996503E-2</v>
      </c>
      <c r="AA201" s="473">
        <f t="shared" si="112"/>
        <v>-5.2536633049823367</v>
      </c>
      <c r="AB201" s="478">
        <f t="shared" si="113"/>
        <v>0.38841589829907708</v>
      </c>
      <c r="AC201" s="108">
        <v>1</v>
      </c>
      <c r="AD201" s="159">
        <f t="shared" si="108"/>
        <v>7.1336235325154998E-2</v>
      </c>
      <c r="AE201" s="160">
        <v>285</v>
      </c>
      <c r="AF201" s="160">
        <v>14</v>
      </c>
      <c r="AG201" s="160">
        <v>2.1</v>
      </c>
      <c r="AH201" s="303">
        <f t="shared" si="111"/>
        <v>0.62111581386936865</v>
      </c>
      <c r="AI201" s="86">
        <f t="shared" si="114"/>
        <v>1616.0139208270546</v>
      </c>
      <c r="AJ201" s="86"/>
      <c r="AK201" s="86"/>
      <c r="AL201" s="86"/>
      <c r="AM201" s="86"/>
      <c r="AN201" s="536"/>
      <c r="AP201" s="53"/>
      <c r="AQ201" s="108"/>
      <c r="AR201" s="110"/>
      <c r="AS201" s="724"/>
      <c r="AT201" s="750"/>
      <c r="AU201" s="750"/>
      <c r="AV201" s="751"/>
      <c r="AW201" s="108"/>
      <c r="AX201" s="724"/>
      <c r="AY201" s="53"/>
      <c r="AZ201" s="108"/>
      <c r="BA201" s="771"/>
      <c r="BB201" s="108"/>
      <c r="BC201" s="724"/>
      <c r="BD201" s="724"/>
      <c r="BE201" s="724"/>
      <c r="BF201" s="634"/>
      <c r="BG201" s="108"/>
      <c r="BH201" s="725"/>
      <c r="BI201" s="725"/>
      <c r="BJ201" s="725"/>
      <c r="BK201" s="725"/>
      <c r="BL201" s="725"/>
      <c r="BM201" s="725"/>
      <c r="BN201" s="475"/>
      <c r="BO201" s="475"/>
      <c r="BP201" s="475"/>
      <c r="BY201" s="14">
        <v>9.9860000000000007</v>
      </c>
    </row>
    <row r="202" spans="1:77" ht="15" customHeight="1" x14ac:dyDescent="0.2">
      <c r="A202" s="782" t="str">
        <f>'r-in'!A156</f>
        <v>091_U</v>
      </c>
      <c r="B202" s="707" t="s">
        <v>1129</v>
      </c>
      <c r="C202" s="162">
        <f>'r-in'!P156</f>
        <v>906.34949426728895</v>
      </c>
      <c r="D202" s="162">
        <f>'r-in'!Q156</f>
        <v>21.595037586488907</v>
      </c>
      <c r="E202" s="81">
        <f>'r-in'!R156</f>
        <v>440627.0123579994</v>
      </c>
      <c r="F202" s="162">
        <f>'r-in'!S156</f>
        <v>6.7894562132699479</v>
      </c>
      <c r="G202" s="81">
        <f>'r-in'!T156</f>
        <v>1159.4754235619685</v>
      </c>
      <c r="H202" s="162">
        <f>'r-in'!U156</f>
        <v>14.437323509914584</v>
      </c>
      <c r="I202" s="81">
        <f>'r-in'!V156</f>
        <v>1022.108793537126</v>
      </c>
      <c r="J202" s="162">
        <f>'r-in'!W156</f>
        <v>13.573286079035345</v>
      </c>
      <c r="K202" s="81">
        <f>'r-in'!X156</f>
        <v>1942407.3681780249</v>
      </c>
      <c r="L202" s="162">
        <f>'r-in'!Y156</f>
        <v>7.1791909767766029</v>
      </c>
      <c r="M202" s="81">
        <f>'r-in'!Z156</f>
        <v>1801.2569658180923</v>
      </c>
      <c r="N202" s="162">
        <f>'r-in'!AA156</f>
        <v>13.000259166207721</v>
      </c>
      <c r="O202" s="81">
        <f>'r-in'!AB156</f>
        <v>405001.10060489445</v>
      </c>
      <c r="P202" s="162">
        <f>'r-in'!AC156</f>
        <v>7.3816346847570458</v>
      </c>
      <c r="Q202" s="81">
        <f>'r-in'!AD156</f>
        <v>1867240.0581386948</v>
      </c>
      <c r="R202" s="162">
        <f>'r-in'!AE156</f>
        <v>7.4663086641026473</v>
      </c>
      <c r="S202" s="157">
        <f>'r-in'!AF156</f>
        <v>4.5836305023876669</v>
      </c>
      <c r="T202" s="157">
        <f>'r-in'!AG156</f>
        <v>8.2190777458496705E-2</v>
      </c>
      <c r="U202" s="157">
        <f>'r-in'!AH156</f>
        <v>4.5982324012259017</v>
      </c>
      <c r="V202" s="157">
        <f>'r-in'!AI156</f>
        <v>8.6286098859904334E-2</v>
      </c>
      <c r="W202" s="158">
        <v>91</v>
      </c>
      <c r="X202" s="764">
        <f t="shared" si="107"/>
        <v>0.88075508239831735</v>
      </c>
      <c r="Y202" s="387">
        <f t="shared" si="109"/>
        <v>4.0499165574283316</v>
      </c>
      <c r="Z202" s="640">
        <f t="shared" si="110"/>
        <v>8.2190777458496705E-2</v>
      </c>
      <c r="AA202" s="473">
        <f t="shared" si="112"/>
        <v>-1.1304581506149658</v>
      </c>
      <c r="AB202" s="478">
        <f t="shared" si="113"/>
        <v>0.82097864224228712</v>
      </c>
      <c r="AC202" s="108">
        <v>1</v>
      </c>
      <c r="AD202" s="159">
        <f t="shared" si="108"/>
        <v>7.1336235325154998E-2</v>
      </c>
      <c r="AE202" s="160">
        <v>285</v>
      </c>
      <c r="AF202" s="160">
        <v>14</v>
      </c>
      <c r="AG202" s="160">
        <v>2.1</v>
      </c>
      <c r="AH202" s="303">
        <f t="shared" si="111"/>
        <v>0.57073260426370465</v>
      </c>
      <c r="AI202" s="86">
        <f t="shared" si="114"/>
        <v>1036.6316930747494</v>
      </c>
      <c r="AJ202" s="86"/>
      <c r="AK202" s="86"/>
      <c r="AL202" s="775"/>
      <c r="AM202" s="775"/>
      <c r="AN202" s="536"/>
      <c r="AP202" s="53"/>
      <c r="AQ202" s="108"/>
      <c r="AR202" s="108"/>
      <c r="AS202" s="724"/>
      <c r="AT202" s="724"/>
      <c r="AU202" s="724"/>
      <c r="AV202" s="634"/>
      <c r="AW202" s="108"/>
      <c r="AX202" s="725"/>
      <c r="AY202" s="53"/>
      <c r="AZ202" s="108"/>
      <c r="BA202" s="771"/>
      <c r="BB202" s="108"/>
      <c r="BC202" s="724"/>
      <c r="BD202" s="724"/>
      <c r="BE202" s="724"/>
      <c r="BF202" s="634"/>
      <c r="BG202" s="108"/>
      <c r="BH202" s="725"/>
      <c r="BI202" s="725"/>
      <c r="BJ202" s="725"/>
      <c r="BK202" s="725"/>
      <c r="BL202" s="634"/>
      <c r="BM202" s="724"/>
      <c r="BN202" s="475"/>
      <c r="BO202" s="475"/>
      <c r="BP202" s="10"/>
      <c r="BY202" s="14">
        <v>9.9860000000000007</v>
      </c>
    </row>
    <row r="203" spans="1:77" s="437" customFormat="1" ht="15" customHeight="1" x14ac:dyDescent="0.15">
      <c r="A203" s="783" t="str">
        <f>'r-in'!A157</f>
        <v>092_U</v>
      </c>
      <c r="B203" s="258" t="s">
        <v>1130</v>
      </c>
      <c r="C203" s="567">
        <f>'r-in'!P157</f>
        <v>5485.1948468415849</v>
      </c>
      <c r="D203" s="567">
        <f>'r-in'!Q157</f>
        <v>3.8968910218846231</v>
      </c>
      <c r="E203" s="568">
        <f>'r-in'!R157</f>
        <v>1062948.2394958143</v>
      </c>
      <c r="F203" s="567">
        <f>'r-in'!S157</f>
        <v>2.1116238782396546</v>
      </c>
      <c r="G203" s="568">
        <f>'r-in'!T157</f>
        <v>4136.9260632303822</v>
      </c>
      <c r="H203" s="567">
        <f>'r-in'!U157</f>
        <v>3.4078473042679116</v>
      </c>
      <c r="I203" s="568">
        <f>'r-in'!V157</f>
        <v>4868.6059021486362</v>
      </c>
      <c r="J203" s="567">
        <f>'r-in'!W157</f>
        <v>2.6593308407161538</v>
      </c>
      <c r="K203" s="568">
        <f>'r-in'!X157</f>
        <v>4817893.3267437741</v>
      </c>
      <c r="L203" s="567">
        <f>'r-in'!Y157</f>
        <v>2.1668741891961312</v>
      </c>
      <c r="M203" s="568">
        <f>'r-in'!Z157</f>
        <v>2492.1008767763296</v>
      </c>
      <c r="N203" s="567">
        <f>'r-in'!AA157</f>
        <v>10.070550201708841</v>
      </c>
      <c r="O203" s="568">
        <f>'r-in'!AB157</f>
        <v>1023444.4083127684</v>
      </c>
      <c r="P203" s="567">
        <f>'r-in'!AC157</f>
        <v>2.1907497683377688</v>
      </c>
      <c r="Q203" s="568">
        <f>'r-in'!AD157</f>
        <v>4742688.797243759</v>
      </c>
      <c r="R203" s="567">
        <f>'r-in'!AE157</f>
        <v>2.2006210640368042</v>
      </c>
      <c r="S203" s="588">
        <f>'r-in'!AF157</f>
        <v>4.6106242212288011</v>
      </c>
      <c r="T203" s="588">
        <f>'r-in'!AG157</f>
        <v>2.5026822244882448E-2</v>
      </c>
      <c r="U203" s="588">
        <f>'r-in'!AH157</f>
        <v>4.6336456958780889</v>
      </c>
      <c r="V203" s="588">
        <f>'r-in'!AI157</f>
        <v>2.5143221564642323E-2</v>
      </c>
      <c r="W203" s="569">
        <v>92</v>
      </c>
      <c r="X203" s="776">
        <f t="shared" si="107"/>
        <v>0.88077667231453338</v>
      </c>
      <c r="Y203" s="610">
        <f t="shared" si="109"/>
        <v>4.0812070367000635</v>
      </c>
      <c r="Z203" s="639">
        <f t="shared" si="110"/>
        <v>2.5026822244882448E-2</v>
      </c>
      <c r="AA203" s="666">
        <f t="shared" si="112"/>
        <v>6.5870111481227678</v>
      </c>
      <c r="AB203" s="667">
        <f t="shared" si="113"/>
        <v>0.25191674202007519</v>
      </c>
      <c r="AC203" s="570">
        <v>1</v>
      </c>
      <c r="AD203" s="787">
        <f t="shared" si="108"/>
        <v>7.1336235325154998E-2</v>
      </c>
      <c r="AE203" s="571">
        <v>285</v>
      </c>
      <c r="AF203" s="571">
        <v>14</v>
      </c>
      <c r="AG203" s="571">
        <v>2.1</v>
      </c>
      <c r="AH203" s="572">
        <f t="shared" si="111"/>
        <v>1.4512473313104792</v>
      </c>
      <c r="AI203" s="742">
        <f t="shared" si="114"/>
        <v>1903.0886114765503</v>
      </c>
      <c r="AJ203" s="742"/>
      <c r="AK203" s="742"/>
      <c r="AL203" s="788">
        <f>AGaverage(AA203:AA217)</f>
        <v>7.6389401148659193</v>
      </c>
      <c r="AM203" s="788">
        <f>STDEV(AA203:AA217)/(COUNT(AA203:AA217)-1)^0.5</f>
        <v>0.43030945685923111</v>
      </c>
      <c r="AN203" s="573"/>
      <c r="AP203" s="240"/>
      <c r="AQ203" s="570"/>
      <c r="AR203" s="241"/>
      <c r="AS203" s="723"/>
      <c r="AT203" s="777"/>
      <c r="AU203" s="777"/>
      <c r="AV203" s="778"/>
      <c r="AW203" s="570"/>
      <c r="AX203" s="723"/>
      <c r="AY203" s="240"/>
      <c r="AZ203" s="570"/>
      <c r="BA203" s="770"/>
      <c r="BB203" s="570"/>
      <c r="BC203" s="723"/>
      <c r="BD203" s="723"/>
      <c r="BE203" s="723"/>
      <c r="BF203" s="624"/>
      <c r="BG203" s="570"/>
      <c r="BH203" s="769"/>
      <c r="BI203" s="769"/>
      <c r="BJ203" s="769"/>
      <c r="BK203" s="769"/>
      <c r="BL203" s="769"/>
      <c r="BM203" s="769"/>
      <c r="BN203" s="574"/>
      <c r="BO203" s="574"/>
      <c r="BP203" s="574"/>
      <c r="BY203" s="437">
        <v>9.9860000000000007</v>
      </c>
    </row>
    <row r="204" spans="1:77" ht="15" customHeight="1" x14ac:dyDescent="0.15">
      <c r="A204" s="782" t="str">
        <f>'r-in'!A158</f>
        <v>093_U</v>
      </c>
      <c r="B204" s="258" t="s">
        <v>1130</v>
      </c>
      <c r="C204" s="162">
        <f>'r-in'!P158</f>
        <v>4520.1149055648639</v>
      </c>
      <c r="D204" s="162">
        <f>'r-in'!Q158</f>
        <v>3.971097585008903</v>
      </c>
      <c r="E204" s="81">
        <f>'r-in'!R158</f>
        <v>1792884.6022653398</v>
      </c>
      <c r="F204" s="162">
        <f>'r-in'!S158</f>
        <v>4.9557938582677554</v>
      </c>
      <c r="G204" s="81">
        <f>'r-in'!T158</f>
        <v>3798.2019878551032</v>
      </c>
      <c r="H204" s="162">
        <f>'r-in'!U158</f>
        <v>4.7038387302764528</v>
      </c>
      <c r="I204" s="81">
        <f>'r-in'!V158</f>
        <v>4189.9704050753899</v>
      </c>
      <c r="J204" s="162">
        <f>'r-in'!W158</f>
        <v>3.0804009192987807</v>
      </c>
      <c r="K204" s="81">
        <f>'r-in'!X158</f>
        <v>8236200.5391928283</v>
      </c>
      <c r="L204" s="162">
        <f>'r-in'!Y158</f>
        <v>5.0409703838226205</v>
      </c>
      <c r="M204" s="81">
        <f>'r-in'!Z158</f>
        <v>2976.0433411594445</v>
      </c>
      <c r="N204" s="162">
        <f>'r-in'!AA158</f>
        <v>7.3503640292745098</v>
      </c>
      <c r="O204" s="81">
        <f>'r-in'!AB158</f>
        <v>1752773.4013178456</v>
      </c>
      <c r="P204" s="162">
        <f>'r-in'!AC158</f>
        <v>5.0711726311004934</v>
      </c>
      <c r="Q204" s="81">
        <f>'r-in'!AD158</f>
        <v>8156858.1088099321</v>
      </c>
      <c r="R204" s="162">
        <f>'r-in'!AE158</f>
        <v>5.0900472631500628</v>
      </c>
      <c r="S204" s="157">
        <f>'r-in'!AF158</f>
        <v>4.6382550309380921</v>
      </c>
      <c r="T204" s="157">
        <f>'r-in'!AG158</f>
        <v>4.4161989913771897E-2</v>
      </c>
      <c r="U204" s="157">
        <f>'r-in'!AH158</f>
        <v>4.6498271619066607</v>
      </c>
      <c r="V204" s="157">
        <f>'r-in'!AI158</f>
        <v>3.4143688571634391E-2</v>
      </c>
      <c r="W204" s="158">
        <v>93</v>
      </c>
      <c r="X204" s="764">
        <f t="shared" si="107"/>
        <v>0.88079845122748635</v>
      </c>
      <c r="Y204" s="387">
        <f t="shared" si="109"/>
        <v>4.095560562682885</v>
      </c>
      <c r="Z204" s="640">
        <f t="shared" si="110"/>
        <v>4.4161989913771897E-2</v>
      </c>
      <c r="AA204" s="473">
        <f t="shared" si="112"/>
        <v>10.127158141049364</v>
      </c>
      <c r="AB204" s="478">
        <f t="shared" si="113"/>
        <v>0.44609225369440786</v>
      </c>
      <c r="AC204" s="108">
        <v>1</v>
      </c>
      <c r="AD204" s="159">
        <f t="shared" si="108"/>
        <v>7.1336235325154998E-2</v>
      </c>
      <c r="AE204" s="160">
        <v>285</v>
      </c>
      <c r="AF204" s="160">
        <v>14</v>
      </c>
      <c r="AG204" s="160">
        <v>2.1</v>
      </c>
      <c r="AH204" s="303">
        <f t="shared" si="111"/>
        <v>2.4987228952348146</v>
      </c>
      <c r="AI204" s="86">
        <f t="shared" si="114"/>
        <v>2740.83982447382</v>
      </c>
      <c r="AJ204" s="86"/>
      <c r="AK204" s="86"/>
      <c r="AL204" s="775"/>
      <c r="AM204" s="775"/>
      <c r="AN204" s="536"/>
      <c r="AP204" s="53"/>
      <c r="AQ204" s="108"/>
      <c r="AR204" s="108"/>
      <c r="AS204" s="724"/>
      <c r="AT204" s="724"/>
      <c r="AU204" s="724"/>
      <c r="AV204" s="634"/>
      <c r="AW204" s="108"/>
      <c r="AX204" s="725"/>
      <c r="AY204" s="53"/>
      <c r="AZ204" s="108"/>
      <c r="BA204" s="771"/>
      <c r="BB204" s="108"/>
      <c r="BC204" s="724"/>
      <c r="BD204" s="724"/>
      <c r="BE204" s="724"/>
      <c r="BF204" s="634"/>
      <c r="BG204" s="108"/>
      <c r="BH204" s="725"/>
      <c r="BI204" s="725"/>
      <c r="BJ204" s="725"/>
      <c r="BK204" s="725"/>
      <c r="BL204" s="634"/>
      <c r="BM204" s="724"/>
      <c r="BN204" s="475"/>
      <c r="BO204" s="475"/>
      <c r="BP204" s="10"/>
      <c r="BY204" s="14">
        <v>9.9860000000000007</v>
      </c>
    </row>
    <row r="205" spans="1:77" ht="15" customHeight="1" x14ac:dyDescent="0.15">
      <c r="A205" s="782" t="str">
        <f>'r-in'!A159</f>
        <v>094_U</v>
      </c>
      <c r="B205" s="258" t="s">
        <v>1130</v>
      </c>
      <c r="C205" s="162">
        <f>'r-in'!P159</f>
        <v>4585.9681100594507</v>
      </c>
      <c r="D205" s="162">
        <f>'r-in'!Q159</f>
        <v>3.7876059014601324</v>
      </c>
      <c r="E205" s="81">
        <f>'r-in'!R159</f>
        <v>1837916.7586001121</v>
      </c>
      <c r="F205" s="162">
        <f>'r-in'!S159</f>
        <v>5.2717761680205077</v>
      </c>
      <c r="G205" s="81">
        <f>'r-in'!T159</f>
        <v>3419.3415936744182</v>
      </c>
      <c r="H205" s="162">
        <f>'r-in'!U159</f>
        <v>3.7938896770153159</v>
      </c>
      <c r="I205" s="81">
        <f>'r-in'!V159</f>
        <v>4052.447627102033</v>
      </c>
      <c r="J205" s="162">
        <f>'r-in'!W159</f>
        <v>2.7674696753055761</v>
      </c>
      <c r="K205" s="81">
        <f>'r-in'!X159</f>
        <v>8457020.0412010625</v>
      </c>
      <c r="L205" s="162">
        <f>'r-in'!Y159</f>
        <v>5.3852677626678656</v>
      </c>
      <c r="M205" s="81">
        <f>'r-in'!Z159</f>
        <v>2984.0359585819192</v>
      </c>
      <c r="N205" s="162">
        <f>'r-in'!AA159</f>
        <v>7.5070480001804265</v>
      </c>
      <c r="O205" s="81">
        <f>'r-in'!AB159</f>
        <v>1797785.7733651239</v>
      </c>
      <c r="P205" s="162">
        <f>'r-in'!AC159</f>
        <v>5.3893102435368236</v>
      </c>
      <c r="Q205" s="81">
        <f>'r-in'!AD159</f>
        <v>8377011.3837893307</v>
      </c>
      <c r="R205" s="162">
        <f>'r-in'!AE159</f>
        <v>5.4373497238558652</v>
      </c>
      <c r="S205" s="157">
        <f>'r-in'!AF159</f>
        <v>4.6352287135658194</v>
      </c>
      <c r="T205" s="157">
        <f>'r-in'!AG159</f>
        <v>6.4265429760789111E-2</v>
      </c>
      <c r="U205" s="157">
        <f>'r-in'!AH159</f>
        <v>4.6484318515983825</v>
      </c>
      <c r="V205" s="157">
        <f>'r-in'!AI159</f>
        <v>5.3590465304487953E-2</v>
      </c>
      <c r="W205" s="158">
        <v>94</v>
      </c>
      <c r="X205" s="764">
        <f t="shared" si="107"/>
        <v>0.88082040967344599</v>
      </c>
      <c r="Y205" s="387">
        <f t="shared" si="109"/>
        <v>4.0944336478639825</v>
      </c>
      <c r="Z205" s="640">
        <f t="shared" si="110"/>
        <v>6.4265429760789111E-2</v>
      </c>
      <c r="AA205" s="473">
        <f t="shared" si="112"/>
        <v>9.8492163926457987</v>
      </c>
      <c r="AB205" s="478">
        <f t="shared" si="113"/>
        <v>0.64898393885060024</v>
      </c>
      <c r="AC205" s="108">
        <v>1</v>
      </c>
      <c r="AD205" s="159">
        <f t="shared" si="108"/>
        <v>7.1336235325154998E-2</v>
      </c>
      <c r="AE205" s="160">
        <v>285</v>
      </c>
      <c r="AF205" s="160">
        <v>14</v>
      </c>
      <c r="AG205" s="160">
        <v>2.1</v>
      </c>
      <c r="AH205" s="303">
        <f t="shared" si="111"/>
        <v>2.568957000171558</v>
      </c>
      <c r="AI205" s="86">
        <f t="shared" si="114"/>
        <v>2807.2756159983655</v>
      </c>
      <c r="AJ205" s="86"/>
      <c r="AK205" s="86"/>
      <c r="AL205" s="86"/>
      <c r="AM205" s="86"/>
      <c r="AN205" s="536"/>
      <c r="AP205" s="53"/>
      <c r="AQ205" s="108"/>
      <c r="AR205" s="110"/>
      <c r="AS205" s="724"/>
      <c r="AT205" s="750"/>
      <c r="AU205" s="750"/>
      <c r="AV205" s="751"/>
      <c r="AW205" s="108"/>
      <c r="AX205" s="724"/>
      <c r="AY205" s="53"/>
      <c r="AZ205" s="108"/>
      <c r="BA205" s="771"/>
      <c r="BB205" s="108"/>
      <c r="BC205" s="724"/>
      <c r="BD205" s="724"/>
      <c r="BE205" s="724"/>
      <c r="BF205" s="634"/>
      <c r="BG205" s="108"/>
      <c r="BH205" s="725"/>
      <c r="BI205" s="725"/>
      <c r="BJ205" s="725"/>
      <c r="BK205" s="725"/>
      <c r="BL205" s="725"/>
      <c r="BM205" s="725"/>
      <c r="BN205" s="475"/>
      <c r="BO205" s="475"/>
      <c r="BP205" s="475"/>
      <c r="BY205" s="14">
        <v>9.9860000000000007</v>
      </c>
    </row>
    <row r="206" spans="1:77" ht="15" customHeight="1" x14ac:dyDescent="0.15">
      <c r="A206" s="782" t="str">
        <f>'r-in'!A160</f>
        <v>095_U</v>
      </c>
      <c r="B206" s="258" t="s">
        <v>1130</v>
      </c>
      <c r="C206" s="162">
        <f>'r-in'!P160</f>
        <v>4733.9517916426003</v>
      </c>
      <c r="D206" s="162">
        <f>'r-in'!Q160</f>
        <v>3.9154754581256412</v>
      </c>
      <c r="E206" s="81">
        <f>'r-in'!R160</f>
        <v>1488574.3413699334</v>
      </c>
      <c r="F206" s="162">
        <f>'r-in'!S160</f>
        <v>1.5128002818335804</v>
      </c>
      <c r="G206" s="81">
        <f>'r-in'!T160</f>
        <v>3571.2715249010985</v>
      </c>
      <c r="H206" s="162">
        <f>'r-in'!U160</f>
        <v>4.5633578819896172</v>
      </c>
      <c r="I206" s="81">
        <f>'r-in'!V160</f>
        <v>4202.2360036634946</v>
      </c>
      <c r="J206" s="162">
        <f>'r-in'!W160</f>
        <v>3.0257944282506641</v>
      </c>
      <c r="K206" s="81">
        <f>'r-in'!X160</f>
        <v>6797528.0413930593</v>
      </c>
      <c r="L206" s="162">
        <f>'r-in'!Y160</f>
        <v>1.5399773437336308</v>
      </c>
      <c r="M206" s="81">
        <f>'r-in'!Z160</f>
        <v>2428.0775823249419</v>
      </c>
      <c r="N206" s="162">
        <f>'r-in'!AA160</f>
        <v>10.613100672268681</v>
      </c>
      <c r="O206" s="81">
        <f>'r-in'!AB160</f>
        <v>1448172.192727281</v>
      </c>
      <c r="P206" s="162">
        <f>'r-in'!AC160</f>
        <v>1.554062067333535</v>
      </c>
      <c r="Q206" s="81">
        <f>'r-in'!AD160</f>
        <v>6717760.3715672959</v>
      </c>
      <c r="R206" s="162">
        <f>'r-in'!AE160</f>
        <v>1.5589780841097542</v>
      </c>
      <c r="S206" s="157">
        <f>'r-in'!AF160</f>
        <v>4.6232706245010675</v>
      </c>
      <c r="T206" s="157">
        <f>'r-in'!AG160</f>
        <v>2.0186644493208124E-2</v>
      </c>
      <c r="U206" s="157">
        <f>'r-in'!AH160</f>
        <v>4.638562554250333</v>
      </c>
      <c r="V206" s="157">
        <f>'r-in'!AI160</f>
        <v>2.1858396564976429E-2</v>
      </c>
      <c r="W206" s="158">
        <v>95</v>
      </c>
      <c r="X206" s="764">
        <f t="shared" si="107"/>
        <v>0.88084253830434678</v>
      </c>
      <c r="Y206" s="387">
        <f t="shared" si="109"/>
        <v>4.0858432143693575</v>
      </c>
      <c r="Z206" s="640">
        <f t="shared" si="110"/>
        <v>2.0186644493208124E-2</v>
      </c>
      <c r="AA206" s="473">
        <f t="shared" si="112"/>
        <v>7.7304758587637412</v>
      </c>
      <c r="AB206" s="478">
        <f t="shared" si="113"/>
        <v>0.20342696861130882</v>
      </c>
      <c r="AC206" s="108">
        <v>1</v>
      </c>
      <c r="AD206" s="159">
        <f t="shared" si="108"/>
        <v>7.1336235325154998E-2</v>
      </c>
      <c r="AE206" s="160">
        <v>285</v>
      </c>
      <c r="AF206" s="160">
        <v>14</v>
      </c>
      <c r="AG206" s="160">
        <v>2.1</v>
      </c>
      <c r="AH206" s="303">
        <f t="shared" si="111"/>
        <v>2.0623339492437522</v>
      </c>
      <c r="AI206" s="86">
        <f t="shared" si="114"/>
        <v>2766.6992275983544</v>
      </c>
      <c r="AJ206" s="86"/>
      <c r="AK206" s="86"/>
      <c r="AL206" s="775"/>
      <c r="AM206" s="775"/>
      <c r="AN206" s="536"/>
      <c r="AP206" s="53"/>
      <c r="AQ206" s="108"/>
      <c r="AR206" s="108"/>
      <c r="AS206" s="724"/>
      <c r="AT206" s="724"/>
      <c r="AU206" s="724"/>
      <c r="AV206" s="634"/>
      <c r="AW206" s="108"/>
      <c r="AX206" s="725"/>
      <c r="AY206" s="53"/>
      <c r="AZ206" s="108"/>
      <c r="BA206" s="771"/>
      <c r="BB206" s="108"/>
      <c r="BC206" s="724"/>
      <c r="BD206" s="724"/>
      <c r="BE206" s="724"/>
      <c r="BF206" s="634"/>
      <c r="BG206" s="108"/>
      <c r="BH206" s="725"/>
      <c r="BI206" s="725"/>
      <c r="BJ206" s="725"/>
      <c r="BK206" s="725"/>
      <c r="BL206" s="634"/>
      <c r="BM206" s="724"/>
      <c r="BN206" s="475"/>
      <c r="BO206" s="475"/>
      <c r="BP206" s="10"/>
      <c r="BY206" s="14">
        <v>9.9860000000000007</v>
      </c>
    </row>
    <row r="207" spans="1:77" ht="15" customHeight="1" x14ac:dyDescent="0.15">
      <c r="A207" s="782" t="str">
        <f>'r-in'!A161</f>
        <v>096_U</v>
      </c>
      <c r="B207" s="258" t="s">
        <v>1130</v>
      </c>
      <c r="C207" s="162">
        <f>'r-in'!P161</f>
        <v>4794.0092021558276</v>
      </c>
      <c r="D207" s="162">
        <f>'r-in'!Q161</f>
        <v>3.5328243857349046</v>
      </c>
      <c r="E207" s="81">
        <f>'r-in'!R161</f>
        <v>1347416.5851273357</v>
      </c>
      <c r="F207" s="162">
        <f>'r-in'!S161</f>
        <v>2.1241617560851163</v>
      </c>
      <c r="G207" s="81">
        <f>'r-in'!T161</f>
        <v>3796.4495005318886</v>
      </c>
      <c r="H207" s="162">
        <f>'r-in'!U161</f>
        <v>4.552977891001448</v>
      </c>
      <c r="I207" s="81">
        <f>'r-in'!V161</f>
        <v>4337.8061874682953</v>
      </c>
      <c r="J207" s="162">
        <f>'r-in'!W161</f>
        <v>2.5660891673289634</v>
      </c>
      <c r="K207" s="81">
        <f>'r-in'!X161</f>
        <v>6139539.2246008934</v>
      </c>
      <c r="L207" s="162">
        <f>'r-in'!Y161</f>
        <v>2.1605661248658792</v>
      </c>
      <c r="M207" s="81">
        <f>'r-in'!Z161</f>
        <v>3978.9747417458661</v>
      </c>
      <c r="N207" s="162">
        <f>'r-in'!AA161</f>
        <v>4.9097175784293183</v>
      </c>
      <c r="O207" s="81">
        <f>'r-in'!AB161</f>
        <v>1307005.359723398</v>
      </c>
      <c r="P207" s="162">
        <f>'r-in'!AC161</f>
        <v>2.1894873297526836</v>
      </c>
      <c r="Q207" s="81">
        <f>'r-in'!AD161</f>
        <v>6058702.9844175121</v>
      </c>
      <c r="R207" s="162">
        <f>'r-in'!AE161</f>
        <v>2.1898124407246073</v>
      </c>
      <c r="S207" s="157">
        <f>'r-in'!AF161</f>
        <v>4.6191544108167291</v>
      </c>
      <c r="T207" s="157">
        <f>'r-in'!AG161</f>
        <v>2.0452658896576711E-2</v>
      </c>
      <c r="U207" s="157">
        <f>'r-in'!AH161</f>
        <v>4.6356639744830224</v>
      </c>
      <c r="V207" s="157">
        <f>'r-in'!AI161</f>
        <v>2.1015053283339448E-2</v>
      </c>
      <c r="W207" s="158">
        <v>96</v>
      </c>
      <c r="X207" s="764">
        <f t="shared" si="107"/>
        <v>0.8808648278877802</v>
      </c>
      <c r="Y207" s="387">
        <f t="shared" si="109"/>
        <v>4.0833933490285705</v>
      </c>
      <c r="Z207" s="640">
        <f t="shared" si="110"/>
        <v>2.0452658896576711E-2</v>
      </c>
      <c r="AA207" s="473">
        <f t="shared" si="112"/>
        <v>7.1262422070712539</v>
      </c>
      <c r="AB207" s="478">
        <f t="shared" si="113"/>
        <v>0.20598409497663006</v>
      </c>
      <c r="AC207" s="108">
        <v>1</v>
      </c>
      <c r="AD207" s="159">
        <f t="shared" si="108"/>
        <v>7.1336235325154998E-2</v>
      </c>
      <c r="AE207" s="160">
        <v>285</v>
      </c>
      <c r="AF207" s="160">
        <v>14</v>
      </c>
      <c r="AG207" s="160">
        <v>2.1</v>
      </c>
      <c r="AH207" s="303">
        <f t="shared" si="111"/>
        <v>1.8619806633561307</v>
      </c>
      <c r="AI207" s="86">
        <f t="shared" si="114"/>
        <v>1522.6794281581988</v>
      </c>
      <c r="AJ207" s="86"/>
      <c r="AK207" s="86"/>
      <c r="AL207" s="86"/>
      <c r="AM207" s="86"/>
      <c r="AN207" s="536"/>
      <c r="AP207" s="53"/>
      <c r="AQ207" s="108"/>
      <c r="AR207" s="110"/>
      <c r="AS207" s="724"/>
      <c r="AT207" s="750"/>
      <c r="AU207" s="750"/>
      <c r="AV207" s="751"/>
      <c r="AW207" s="108"/>
      <c r="AX207" s="724"/>
      <c r="AY207" s="53"/>
      <c r="AZ207" s="108"/>
      <c r="BA207" s="771"/>
      <c r="BB207" s="108"/>
      <c r="BC207" s="724"/>
      <c r="BD207" s="724"/>
      <c r="BE207" s="724"/>
      <c r="BF207" s="634"/>
      <c r="BG207" s="108"/>
      <c r="BH207" s="725"/>
      <c r="BI207" s="725"/>
      <c r="BJ207" s="725"/>
      <c r="BK207" s="725"/>
      <c r="BL207" s="725"/>
      <c r="BM207" s="725"/>
      <c r="BN207" s="475"/>
      <c r="BO207" s="475"/>
      <c r="BP207" s="475"/>
      <c r="BY207" s="14">
        <v>9.9860000000000007</v>
      </c>
    </row>
    <row r="208" spans="1:77" ht="15" customHeight="1" x14ac:dyDescent="0.15">
      <c r="A208" s="782" t="str">
        <f>'r-in'!A162</f>
        <v>097_U</v>
      </c>
      <c r="B208" s="258" t="s">
        <v>1130</v>
      </c>
      <c r="C208" s="162">
        <f>'r-in'!P162</f>
        <v>4981.5114431460097</v>
      </c>
      <c r="D208" s="162">
        <f>'r-in'!Q162</f>
        <v>3.4360911881803156</v>
      </c>
      <c r="E208" s="81">
        <f>'r-in'!R162</f>
        <v>1214640.0803799818</v>
      </c>
      <c r="F208" s="162">
        <f>'r-in'!S162</f>
        <v>2.2708165962777436</v>
      </c>
      <c r="G208" s="81">
        <f>'r-in'!T162</f>
        <v>3663.7306082489777</v>
      </c>
      <c r="H208" s="162">
        <f>'r-in'!U162</f>
        <v>3.8348841790010337</v>
      </c>
      <c r="I208" s="81">
        <f>'r-in'!V162</f>
        <v>4378.8652169614352</v>
      </c>
      <c r="J208" s="162">
        <f>'r-in'!W162</f>
        <v>2.7656689554696694</v>
      </c>
      <c r="K208" s="81">
        <f>'r-in'!X162</f>
        <v>5528594.1557046538</v>
      </c>
      <c r="L208" s="162">
        <f>'r-in'!Y162</f>
        <v>2.3311016206721296</v>
      </c>
      <c r="M208" s="81">
        <f>'r-in'!Z162</f>
        <v>3021.0236933140145</v>
      </c>
      <c r="N208" s="162">
        <f>'r-in'!AA162</f>
        <v>7.3078908528249906</v>
      </c>
      <c r="O208" s="81">
        <f>'r-in'!AB162</f>
        <v>1174272.0422117466</v>
      </c>
      <c r="P208" s="162">
        <f>'r-in'!AC162</f>
        <v>2.3493412776954981</v>
      </c>
      <c r="Q208" s="81">
        <f>'r-in'!AD162</f>
        <v>5448570.0309817409</v>
      </c>
      <c r="R208" s="162">
        <f>'r-in'!AE162</f>
        <v>2.3646679066983918</v>
      </c>
      <c r="S208" s="157">
        <f>'r-in'!AF162</f>
        <v>4.619823016997648</v>
      </c>
      <c r="T208" s="157">
        <f>'r-in'!AG162</f>
        <v>2.4113883166224842E-2</v>
      </c>
      <c r="U208" s="157">
        <f>'r-in'!AH162</f>
        <v>4.6389094785973803</v>
      </c>
      <c r="V208" s="157">
        <f>'r-in'!AI162</f>
        <v>2.4463944496720489E-2</v>
      </c>
      <c r="W208" s="158">
        <v>97</v>
      </c>
      <c r="X208" s="764">
        <f t="shared" si="107"/>
        <v>0.88088726930698913</v>
      </c>
      <c r="Y208" s="387">
        <f t="shared" si="109"/>
        <v>4.0863563031639547</v>
      </c>
      <c r="Z208" s="640">
        <f t="shared" si="110"/>
        <v>2.4113883166224842E-2</v>
      </c>
      <c r="AA208" s="473">
        <f t="shared" si="112"/>
        <v>7.8570238411530546</v>
      </c>
      <c r="AB208" s="478">
        <f t="shared" si="113"/>
        <v>0.2430334652117061</v>
      </c>
      <c r="AC208" s="108">
        <v>1</v>
      </c>
      <c r="AD208" s="159">
        <f t="shared" si="108"/>
        <v>7.1336235325154998E-2</v>
      </c>
      <c r="AE208" s="160">
        <v>285</v>
      </c>
      <c r="AF208" s="160">
        <v>14</v>
      </c>
      <c r="AG208" s="160">
        <v>2.1</v>
      </c>
      <c r="AH208" s="303">
        <f t="shared" si="111"/>
        <v>1.6762291357224726</v>
      </c>
      <c r="AI208" s="86">
        <f t="shared" si="114"/>
        <v>1803.550909925088</v>
      </c>
      <c r="AJ208" s="86"/>
      <c r="AK208" s="86"/>
      <c r="AL208" s="775"/>
      <c r="AM208" s="775"/>
      <c r="AN208" s="536"/>
      <c r="AP208" s="53"/>
      <c r="AQ208" s="108"/>
      <c r="AR208" s="108"/>
      <c r="AS208" s="724"/>
      <c r="AT208" s="724"/>
      <c r="AU208" s="724"/>
      <c r="AV208" s="634"/>
      <c r="AW208" s="108"/>
      <c r="AX208" s="725"/>
      <c r="AY208" s="53"/>
      <c r="AZ208" s="108"/>
      <c r="BA208" s="771"/>
      <c r="BB208" s="108"/>
      <c r="BC208" s="724"/>
      <c r="BD208" s="724"/>
      <c r="BE208" s="724"/>
      <c r="BF208" s="634"/>
      <c r="BG208" s="108"/>
      <c r="BH208" s="725"/>
      <c r="BI208" s="725"/>
      <c r="BJ208" s="725"/>
      <c r="BK208" s="725"/>
      <c r="BL208" s="634"/>
      <c r="BM208" s="724"/>
      <c r="BN208" s="475"/>
      <c r="BO208" s="475"/>
      <c r="BP208" s="10"/>
      <c r="BY208" s="14">
        <v>9.9860000000000007</v>
      </c>
    </row>
    <row r="209" spans="1:77" ht="15" customHeight="1" x14ac:dyDescent="0.15">
      <c r="A209" s="782" t="str">
        <f>'r-in'!A163</f>
        <v>098_U</v>
      </c>
      <c r="B209" s="258" t="s">
        <v>1130</v>
      </c>
      <c r="C209" s="162">
        <f>'r-in'!P163</f>
        <v>4858.4763737597368</v>
      </c>
      <c r="D209" s="162">
        <f>'r-in'!Q163</f>
        <v>2.8208821030309412</v>
      </c>
      <c r="E209" s="81">
        <f>'r-in'!R163</f>
        <v>1187928.2618863129</v>
      </c>
      <c r="F209" s="162">
        <f>'r-in'!S163</f>
        <v>1.8776959433955536</v>
      </c>
      <c r="G209" s="81">
        <f>'r-in'!T163</f>
        <v>3680.5190496929604</v>
      </c>
      <c r="H209" s="162">
        <f>'r-in'!U163</f>
        <v>4.6540866237235923</v>
      </c>
      <c r="I209" s="81">
        <f>'r-in'!V163</f>
        <v>4319.7740970561963</v>
      </c>
      <c r="J209" s="162">
        <f>'r-in'!W163</f>
        <v>2.5609415626673897</v>
      </c>
      <c r="K209" s="81">
        <f>'r-in'!X163</f>
        <v>5386258.9440955715</v>
      </c>
      <c r="L209" s="162">
        <f>'r-in'!Y163</f>
        <v>1.9166609525738039</v>
      </c>
      <c r="M209" s="81">
        <f>'r-in'!Z163</f>
        <v>2694.829803455335</v>
      </c>
      <c r="N209" s="162">
        <f>'r-in'!AA163</f>
        <v>8.9795461197911166</v>
      </c>
      <c r="O209" s="81">
        <f>'r-in'!AB163</f>
        <v>1147665.5495112906</v>
      </c>
      <c r="P209" s="162">
        <f>'r-in'!AC163</f>
        <v>1.9419936545585783</v>
      </c>
      <c r="Q209" s="81">
        <f>'r-in'!AD163</f>
        <v>5306958.6773335459</v>
      </c>
      <c r="R209" s="162">
        <f>'r-in'!AE163</f>
        <v>1.9445625563081919</v>
      </c>
      <c r="S209" s="157">
        <f>'r-in'!AF163</f>
        <v>4.6060032531707682</v>
      </c>
      <c r="T209" s="157">
        <f>'r-in'!AG163</f>
        <v>1.7174341042402983E-2</v>
      </c>
      <c r="U209" s="157">
        <f>'r-in'!AH163</f>
        <v>4.6241201768074482</v>
      </c>
      <c r="V209" s="157">
        <f>'r-in'!AI163</f>
        <v>2.2186315040922642E-2</v>
      </c>
      <c r="W209" s="158">
        <v>98</v>
      </c>
      <c r="X209" s="764">
        <f t="shared" si="107"/>
        <v>0.88090985356086537</v>
      </c>
      <c r="Y209" s="387">
        <f t="shared" si="109"/>
        <v>4.0734330277992923</v>
      </c>
      <c r="Z209" s="640">
        <f t="shared" si="110"/>
        <v>1.7174341042402983E-2</v>
      </c>
      <c r="AA209" s="473">
        <f t="shared" si="112"/>
        <v>4.6696331975071281</v>
      </c>
      <c r="AB209" s="478">
        <f t="shared" si="113"/>
        <v>0.17254538915500994</v>
      </c>
      <c r="AC209" s="108">
        <v>1</v>
      </c>
      <c r="AD209" s="159">
        <f t="shared" si="108"/>
        <v>7.1336235325154998E-2</v>
      </c>
      <c r="AE209" s="160">
        <v>285</v>
      </c>
      <c r="AF209" s="160">
        <v>14</v>
      </c>
      <c r="AG209" s="160">
        <v>2.1</v>
      </c>
      <c r="AH209" s="303">
        <f t="shared" si="111"/>
        <v>1.6343545508815169</v>
      </c>
      <c r="AI209" s="86">
        <f t="shared" si="114"/>
        <v>1969.3112605957215</v>
      </c>
      <c r="AJ209" s="86"/>
      <c r="AK209" s="86"/>
      <c r="AL209" s="86"/>
      <c r="AM209" s="86"/>
      <c r="AN209" s="536"/>
      <c r="AP209" s="53"/>
      <c r="AQ209" s="108"/>
      <c r="AR209" s="110"/>
      <c r="AS209" s="724"/>
      <c r="AT209" s="750"/>
      <c r="AU209" s="750"/>
      <c r="AV209" s="751"/>
      <c r="AW209" s="108"/>
      <c r="AX209" s="724"/>
      <c r="AY209" s="53"/>
      <c r="AZ209" s="108"/>
      <c r="BA209" s="771"/>
      <c r="BB209" s="108"/>
      <c r="BC209" s="724"/>
      <c r="BD209" s="724"/>
      <c r="BE209" s="724"/>
      <c r="BF209" s="634"/>
      <c r="BG209" s="108"/>
      <c r="BH209" s="725"/>
      <c r="BI209" s="725"/>
      <c r="BJ209" s="725"/>
      <c r="BK209" s="725"/>
      <c r="BL209" s="725"/>
      <c r="BM209" s="725"/>
      <c r="BN209" s="475"/>
      <c r="BO209" s="475"/>
      <c r="BP209" s="475"/>
      <c r="BY209" s="14">
        <v>9.9860000000000007</v>
      </c>
    </row>
    <row r="210" spans="1:77" ht="15" customHeight="1" x14ac:dyDescent="0.15">
      <c r="A210" s="782" t="str">
        <f>'r-in'!A164</f>
        <v>099_U</v>
      </c>
      <c r="B210" s="258" t="s">
        <v>1130</v>
      </c>
      <c r="C210" s="162">
        <f>'r-in'!P164</f>
        <v>4949.6725444870945</v>
      </c>
      <c r="D210" s="162">
        <f>'r-in'!Q164</f>
        <v>3.2925775946821902</v>
      </c>
      <c r="E210" s="81">
        <f>'r-in'!R164</f>
        <v>1434472.5205812147</v>
      </c>
      <c r="F210" s="162">
        <f>'r-in'!S164</f>
        <v>1.8011187211565882</v>
      </c>
      <c r="G210" s="81">
        <f>'r-in'!T164</f>
        <v>3658.704064903111</v>
      </c>
      <c r="H210" s="162">
        <f>'r-in'!U164</f>
        <v>4.4204713480006346</v>
      </c>
      <c r="I210" s="81">
        <f>'r-in'!V164</f>
        <v>4359.2881180772856</v>
      </c>
      <c r="J210" s="162">
        <f>'r-in'!W164</f>
        <v>2.7263099528094963</v>
      </c>
      <c r="K210" s="81">
        <f>'r-in'!X164</f>
        <v>6549109.8710240545</v>
      </c>
      <c r="L210" s="162">
        <f>'r-in'!Y164</f>
        <v>1.843502599011021</v>
      </c>
      <c r="M210" s="81">
        <f>'r-in'!Z164</f>
        <v>2313.6551279345949</v>
      </c>
      <c r="N210" s="162">
        <f>'r-in'!AA164</f>
        <v>10.660551511834079</v>
      </c>
      <c r="O210" s="81">
        <f>'r-in'!AB164</f>
        <v>1394199.852463542</v>
      </c>
      <c r="P210" s="162">
        <f>'r-in'!AC164</f>
        <v>1.8529399743566899</v>
      </c>
      <c r="Q210" s="81">
        <f>'r-in'!AD164</f>
        <v>6470699.4324777694</v>
      </c>
      <c r="R210" s="162">
        <f>'r-in'!AE164</f>
        <v>1.8651800737066568</v>
      </c>
      <c r="S210" s="157">
        <f>'r-in'!AF164</f>
        <v>4.6244121803534739</v>
      </c>
      <c r="T210" s="157">
        <f>'r-in'!AG164</f>
        <v>2.8117448946407955E-2</v>
      </c>
      <c r="U210" s="157">
        <f>'r-in'!AH164</f>
        <v>4.6403056984588114</v>
      </c>
      <c r="V210" s="157">
        <f>'r-in'!AI164</f>
        <v>2.6662228253906513E-2</v>
      </c>
      <c r="W210" s="158">
        <v>99</v>
      </c>
      <c r="X210" s="764">
        <f t="shared" si="107"/>
        <v>0.88093257176394901</v>
      </c>
      <c r="Y210" s="387">
        <f t="shared" si="109"/>
        <v>4.087796432714228</v>
      </c>
      <c r="Z210" s="640">
        <f t="shared" si="110"/>
        <v>2.8117448946407955E-2</v>
      </c>
      <c r="AA210" s="473">
        <f t="shared" si="112"/>
        <v>8.2122167256697409</v>
      </c>
      <c r="AB210" s="478">
        <f t="shared" si="113"/>
        <v>0.28348355530938285</v>
      </c>
      <c r="AC210" s="108">
        <v>1</v>
      </c>
      <c r="AD210" s="159">
        <f t="shared" si="108"/>
        <v>7.1336235325154998E-2</v>
      </c>
      <c r="AE210" s="160">
        <v>285</v>
      </c>
      <c r="AF210" s="160">
        <v>14</v>
      </c>
      <c r="AG210" s="160">
        <v>2.1</v>
      </c>
      <c r="AH210" s="303">
        <f t="shared" si="111"/>
        <v>1.9947843658481021</v>
      </c>
      <c r="AI210" s="86">
        <f t="shared" si="114"/>
        <v>2796.7432805139706</v>
      </c>
      <c r="AJ210" s="86"/>
      <c r="AK210" s="86"/>
      <c r="AL210" s="775"/>
      <c r="AM210" s="775"/>
      <c r="AN210" s="536"/>
      <c r="AP210" s="53"/>
      <c r="AQ210" s="108"/>
      <c r="AR210" s="108"/>
      <c r="AS210" s="724"/>
      <c r="AT210" s="724"/>
      <c r="AU210" s="724"/>
      <c r="AV210" s="634"/>
      <c r="AW210" s="108"/>
      <c r="AX210" s="725"/>
      <c r="AY210" s="53"/>
      <c r="AZ210" s="108"/>
      <c r="BA210" s="771"/>
      <c r="BB210" s="108"/>
      <c r="BC210" s="724"/>
      <c r="BD210" s="724"/>
      <c r="BE210" s="724"/>
      <c r="BF210" s="634"/>
      <c r="BG210" s="108"/>
      <c r="BH210" s="725"/>
      <c r="BI210" s="725"/>
      <c r="BJ210" s="725"/>
      <c r="BK210" s="725"/>
      <c r="BL210" s="634"/>
      <c r="BM210" s="724"/>
      <c r="BN210" s="475"/>
      <c r="BO210" s="475"/>
      <c r="BP210" s="10"/>
      <c r="BY210" s="14">
        <v>9.9860000000000007</v>
      </c>
    </row>
    <row r="211" spans="1:77" ht="15" customHeight="1" x14ac:dyDescent="0.15">
      <c r="A211" s="782" t="str">
        <f>'r-in'!A165</f>
        <v>100_U</v>
      </c>
      <c r="B211" s="258" t="s">
        <v>1130</v>
      </c>
      <c r="C211" s="162">
        <f>'r-in'!P165</f>
        <v>4512.6260393307339</v>
      </c>
      <c r="D211" s="162">
        <f>'r-in'!Q165</f>
        <v>4.1465268495849221</v>
      </c>
      <c r="E211" s="81">
        <f>'r-in'!R165</f>
        <v>1276171.1110427876</v>
      </c>
      <c r="F211" s="162">
        <f>'r-in'!S165</f>
        <v>2.9146959407979698</v>
      </c>
      <c r="G211" s="81">
        <f>'r-in'!T165</f>
        <v>3409.9733497225966</v>
      </c>
      <c r="H211" s="162">
        <f>'r-in'!U165</f>
        <v>3.8709420807247912</v>
      </c>
      <c r="I211" s="81">
        <f>'r-in'!V165</f>
        <v>4008.3620034703727</v>
      </c>
      <c r="J211" s="162">
        <f>'r-in'!W165</f>
        <v>2.892172493224018</v>
      </c>
      <c r="K211" s="81">
        <f>'r-in'!X165</f>
        <v>5806918.4469829733</v>
      </c>
      <c r="L211" s="162">
        <f>'r-in'!Y165</f>
        <v>2.9696558050776742</v>
      </c>
      <c r="M211" s="81">
        <f>'r-in'!Z165</f>
        <v>3250.7183744176682</v>
      </c>
      <c r="N211" s="162">
        <f>'r-in'!AA165</f>
        <v>7.5762444374162978</v>
      </c>
      <c r="O211" s="81">
        <f>'r-in'!AB165</f>
        <v>1236424.7780923734</v>
      </c>
      <c r="P211" s="162">
        <f>'r-in'!AC165</f>
        <v>3.0087171913757644</v>
      </c>
      <c r="Q211" s="81">
        <f>'r-in'!AD165</f>
        <v>5727336.4309109412</v>
      </c>
      <c r="R211" s="162">
        <f>'r-in'!AE165</f>
        <v>3.011588059291407</v>
      </c>
      <c r="S211" s="157">
        <f>'r-in'!AF165</f>
        <v>4.6158084411472986</v>
      </c>
      <c r="T211" s="157">
        <f>'r-in'!AG165</f>
        <v>2.3936311498210822E-2</v>
      </c>
      <c r="U211" s="157">
        <f>'r-in'!AH165</f>
        <v>4.6321623657679423</v>
      </c>
      <c r="V211" s="157">
        <f>'r-in'!AI165</f>
        <v>2.5703432750403231E-2</v>
      </c>
      <c r="W211" s="158">
        <v>100</v>
      </c>
      <c r="X211" s="764">
        <f t="shared" si="107"/>
        <v>0.88095541514643039</v>
      </c>
      <c r="Y211" s="387">
        <f t="shared" si="109"/>
        <v>4.0807285199607684</v>
      </c>
      <c r="Z211" s="640">
        <f t="shared" si="110"/>
        <v>2.3936311498210822E-2</v>
      </c>
      <c r="AA211" s="473">
        <f t="shared" si="112"/>
        <v>6.4689900014227586</v>
      </c>
      <c r="AB211" s="478">
        <f t="shared" si="113"/>
        <v>0.24091155257965902</v>
      </c>
      <c r="AC211" s="108">
        <v>1</v>
      </c>
      <c r="AD211" s="159">
        <f t="shared" si="108"/>
        <v>7.1336235325154998E-2</v>
      </c>
      <c r="AE211" s="160">
        <v>285</v>
      </c>
      <c r="AF211" s="160">
        <v>14</v>
      </c>
      <c r="AG211" s="160">
        <v>2.1</v>
      </c>
      <c r="AH211" s="303">
        <f t="shared" si="111"/>
        <v>1.7674049773219287</v>
      </c>
      <c r="AI211" s="86">
        <f t="shared" si="114"/>
        <v>1761.8679230977471</v>
      </c>
      <c r="AJ211" s="86"/>
      <c r="AK211" s="86"/>
      <c r="AL211" s="86"/>
      <c r="AM211" s="86"/>
      <c r="AN211" s="536"/>
      <c r="AP211" s="53"/>
      <c r="AQ211" s="108"/>
      <c r="AR211" s="110"/>
      <c r="AS211" s="724"/>
      <c r="AT211" s="750"/>
      <c r="AU211" s="750"/>
      <c r="AV211" s="751"/>
      <c r="AW211" s="108"/>
      <c r="AX211" s="724"/>
      <c r="AY211" s="53"/>
      <c r="AZ211" s="108"/>
      <c r="BA211" s="771"/>
      <c r="BB211" s="108"/>
      <c r="BC211" s="724"/>
      <c r="BD211" s="724"/>
      <c r="BE211" s="724"/>
      <c r="BF211" s="634"/>
      <c r="BG211" s="108"/>
      <c r="BH211" s="725"/>
      <c r="BI211" s="725"/>
      <c r="BJ211" s="725"/>
      <c r="BK211" s="725"/>
      <c r="BL211" s="725"/>
      <c r="BM211" s="725"/>
      <c r="BN211" s="475"/>
      <c r="BO211" s="475"/>
      <c r="BP211" s="475"/>
      <c r="BY211" s="14">
        <v>9.9860000000000007</v>
      </c>
    </row>
    <row r="212" spans="1:77" ht="15" customHeight="1" x14ac:dyDescent="0.15">
      <c r="A212" s="782" t="str">
        <f>'r-in'!A166</f>
        <v>109_U</v>
      </c>
      <c r="B212" s="258" t="s">
        <v>1130</v>
      </c>
      <c r="C212" s="162">
        <f>'r-in'!P166</f>
        <v>4297.461898036122</v>
      </c>
      <c r="D212" s="162">
        <f>'r-in'!Q166</f>
        <v>4.4830445542511068</v>
      </c>
      <c r="E212" s="81">
        <f>'r-in'!R166</f>
        <v>1267633.7081978777</v>
      </c>
      <c r="F212" s="162">
        <f>'r-in'!S166</f>
        <v>3.5628997368072435</v>
      </c>
      <c r="G212" s="81">
        <f>'r-in'!T166</f>
        <v>3218.7610610699803</v>
      </c>
      <c r="H212" s="162">
        <f>'r-in'!U166</f>
        <v>5.4622328235950439</v>
      </c>
      <c r="I212" s="81">
        <f>'r-in'!V166</f>
        <v>3804.1514997022587</v>
      </c>
      <c r="J212" s="162">
        <f>'r-in'!W166</f>
        <v>3.1398088529299906</v>
      </c>
      <c r="K212" s="81">
        <f>'r-in'!X166</f>
        <v>5767763.4950113576</v>
      </c>
      <c r="L212" s="162">
        <f>'r-in'!Y166</f>
        <v>3.6169589401892215</v>
      </c>
      <c r="M212" s="81">
        <f>'r-in'!Z166</f>
        <v>3294.4976611172806</v>
      </c>
      <c r="N212" s="162">
        <f>'r-in'!AA166</f>
        <v>7.6238723816372254</v>
      </c>
      <c r="O212" s="81">
        <f>'r-in'!AB166</f>
        <v>1228446.0652786607</v>
      </c>
      <c r="P212" s="162">
        <f>'r-in'!AC166</f>
        <v>3.6758253818246152</v>
      </c>
      <c r="Q212" s="81">
        <f>'r-in'!AD166</f>
        <v>5689546.7566165058</v>
      </c>
      <c r="R212" s="162">
        <f>'r-in'!AE166</f>
        <v>3.6679749377648614</v>
      </c>
      <c r="S212" s="157">
        <f>'r-in'!AF166</f>
        <v>4.6170519765131113</v>
      </c>
      <c r="T212" s="157">
        <f>'r-in'!AG166</f>
        <v>1.9023988439485214E-2</v>
      </c>
      <c r="U212" s="157">
        <f>'r-in'!AH166</f>
        <v>4.6321541377387474</v>
      </c>
      <c r="V212" s="157">
        <f>'r-in'!AI166</f>
        <v>2.204301670205849E-2</v>
      </c>
      <c r="W212" s="158">
        <v>109</v>
      </c>
      <c r="X212" s="764">
        <f t="shared" si="107"/>
        <v>0.88116524889929582</v>
      </c>
      <c r="Y212" s="387">
        <f t="shared" si="109"/>
        <v>4.0816932537204664</v>
      </c>
      <c r="Z212" s="640">
        <f t="shared" si="110"/>
        <v>1.9023988439485214E-2</v>
      </c>
      <c r="AA212" s="473">
        <f t="shared" si="112"/>
        <v>6.7069314885845888</v>
      </c>
      <c r="AB212" s="478">
        <f t="shared" si="113"/>
        <v>0.19151581026588538</v>
      </c>
      <c r="AC212" s="108">
        <v>1</v>
      </c>
      <c r="AD212" s="159">
        <f t="shared" si="108"/>
        <v>7.1336235325154998E-2</v>
      </c>
      <c r="AE212" s="160">
        <v>285</v>
      </c>
      <c r="AF212" s="160">
        <v>14</v>
      </c>
      <c r="AG212" s="160">
        <v>2.1</v>
      </c>
      <c r="AH212" s="303">
        <f t="shared" si="111"/>
        <v>1.7708046841500227</v>
      </c>
      <c r="AI212" s="86">
        <f t="shared" si="114"/>
        <v>1726.9846094493748</v>
      </c>
      <c r="AJ212" s="86"/>
      <c r="AK212" s="86"/>
      <c r="AL212" s="775"/>
      <c r="AM212" s="775"/>
      <c r="AN212" s="536"/>
      <c r="AP212" s="53"/>
      <c r="AQ212" s="108"/>
      <c r="AR212" s="108"/>
      <c r="AS212" s="724"/>
      <c r="AT212" s="724"/>
      <c r="AU212" s="724"/>
      <c r="AV212" s="634"/>
      <c r="AW212" s="108"/>
      <c r="AX212" s="725"/>
      <c r="AY212" s="53"/>
      <c r="AZ212" s="108"/>
      <c r="BA212" s="771"/>
      <c r="BB212" s="108"/>
      <c r="BC212" s="724"/>
      <c r="BD212" s="724"/>
      <c r="BE212" s="724"/>
      <c r="BF212" s="634"/>
      <c r="BG212" s="108"/>
      <c r="BH212" s="725"/>
      <c r="BI212" s="725"/>
      <c r="BJ212" s="725"/>
      <c r="BK212" s="725"/>
      <c r="BL212" s="634"/>
      <c r="BM212" s="724"/>
      <c r="BN212" s="475"/>
      <c r="BO212" s="475"/>
      <c r="BP212" s="10"/>
      <c r="BY212" s="14">
        <v>9.9860000000000007</v>
      </c>
    </row>
    <row r="213" spans="1:77" ht="15" customHeight="1" x14ac:dyDescent="0.15">
      <c r="A213" s="782" t="str">
        <f>'r-in'!A167</f>
        <v>110_U</v>
      </c>
      <c r="B213" s="258" t="s">
        <v>1130</v>
      </c>
      <c r="C213" s="162">
        <f>'r-in'!P167</f>
        <v>5017.6734855982395</v>
      </c>
      <c r="D213" s="162">
        <f>'r-in'!Q167</f>
        <v>3.2866219649945525</v>
      </c>
      <c r="E213" s="81">
        <f>'r-in'!R167</f>
        <v>907791.51234026393</v>
      </c>
      <c r="F213" s="162">
        <f>'r-in'!S167</f>
        <v>1.2047506280370641</v>
      </c>
      <c r="G213" s="81">
        <f>'r-in'!T167</f>
        <v>3653.463905615868</v>
      </c>
      <c r="H213" s="162">
        <f>'r-in'!U167</f>
        <v>4.3163770962365611</v>
      </c>
      <c r="I213" s="81">
        <f>'r-in'!V167</f>
        <v>4393.7945116978062</v>
      </c>
      <c r="J213" s="162">
        <f>'r-in'!W167</f>
        <v>2.682627368311397</v>
      </c>
      <c r="K213" s="81">
        <f>'r-in'!X167</f>
        <v>4098086.5120050511</v>
      </c>
      <c r="L213" s="162">
        <f>'r-in'!Y167</f>
        <v>1.2441815015874189</v>
      </c>
      <c r="M213" s="81">
        <f>'r-in'!Z167</f>
        <v>2607.4614975115833</v>
      </c>
      <c r="N213" s="162">
        <f>'r-in'!AA167</f>
        <v>9.3015462710427901</v>
      </c>
      <c r="O213" s="81">
        <f>'r-in'!AB167</f>
        <v>868046.18360268499</v>
      </c>
      <c r="P213" s="162">
        <f>'r-in'!AC167</f>
        <v>1.2600926111321538</v>
      </c>
      <c r="Q213" s="81">
        <f>'r-in'!AD167</f>
        <v>4020633.8911642199</v>
      </c>
      <c r="R213" s="162">
        <f>'r-in'!AE167</f>
        <v>1.2671173298082297</v>
      </c>
      <c r="S213" s="157">
        <f>'r-in'!AF167</f>
        <v>4.6074941726763132</v>
      </c>
      <c r="T213" s="157">
        <f>'r-in'!AG167</f>
        <v>2.5827420941656694E-2</v>
      </c>
      <c r="U213" s="157">
        <f>'r-in'!AH167</f>
        <v>4.6315802430825332</v>
      </c>
      <c r="V213" s="157">
        <f>'r-in'!AI167</f>
        <v>2.9803916790036463E-2</v>
      </c>
      <c r="W213" s="158">
        <v>110</v>
      </c>
      <c r="X213" s="764">
        <f t="shared" si="107"/>
        <v>0.88118888718513866</v>
      </c>
      <c r="Y213" s="387">
        <f t="shared" si="109"/>
        <v>4.0812970403105711</v>
      </c>
      <c r="Z213" s="640">
        <f t="shared" si="110"/>
        <v>2.5827420941656694E-2</v>
      </c>
      <c r="AA213" s="473">
        <f t="shared" si="112"/>
        <v>6.6092095968852682</v>
      </c>
      <c r="AB213" s="478">
        <f t="shared" si="113"/>
        <v>0.25998119780012985</v>
      </c>
      <c r="AC213" s="108">
        <v>1</v>
      </c>
      <c r="AD213" s="159">
        <f t="shared" si="108"/>
        <v>7.1336235325154998E-2</v>
      </c>
      <c r="AE213" s="160">
        <v>285</v>
      </c>
      <c r="AF213" s="160">
        <v>14</v>
      </c>
      <c r="AG213" s="160">
        <v>2.1</v>
      </c>
      <c r="AH213" s="303">
        <f t="shared" si="111"/>
        <v>1.2524901575866167</v>
      </c>
      <c r="AI213" s="86">
        <f t="shared" si="114"/>
        <v>1541.9724874178546</v>
      </c>
      <c r="AJ213" s="86"/>
      <c r="AK213" s="86"/>
      <c r="AL213" s="86"/>
      <c r="AM213" s="86"/>
      <c r="AN213" s="536"/>
      <c r="AP213" s="53"/>
      <c r="AQ213" s="108"/>
      <c r="AR213" s="110"/>
      <c r="AS213" s="724"/>
      <c r="AT213" s="750"/>
      <c r="AU213" s="750"/>
      <c r="AV213" s="751"/>
      <c r="AW213" s="108"/>
      <c r="AX213" s="724"/>
      <c r="AY213" s="53"/>
      <c r="AZ213" s="108"/>
      <c r="BA213" s="771"/>
      <c r="BB213" s="108"/>
      <c r="BC213" s="724"/>
      <c r="BD213" s="724"/>
      <c r="BE213" s="724"/>
      <c r="BF213" s="634"/>
      <c r="BG213" s="108"/>
      <c r="BH213" s="725"/>
      <c r="BI213" s="725"/>
      <c r="BJ213" s="725"/>
      <c r="BK213" s="725"/>
      <c r="BL213" s="725"/>
      <c r="BM213" s="725"/>
      <c r="BN213" s="475"/>
      <c r="BO213" s="475"/>
      <c r="BP213" s="475"/>
      <c r="BY213" s="14">
        <v>9.9860000000000007</v>
      </c>
    </row>
    <row r="214" spans="1:77" ht="15" customHeight="1" x14ac:dyDescent="0.15">
      <c r="A214" s="782" t="str">
        <f>'r-in'!A168</f>
        <v>111_U</v>
      </c>
      <c r="B214" s="258" t="s">
        <v>1130</v>
      </c>
      <c r="C214" s="162">
        <f>'r-in'!P168</f>
        <v>5059.1123472241816</v>
      </c>
      <c r="D214" s="162">
        <f>'r-in'!Q168</f>
        <v>4.2029662371623262</v>
      </c>
      <c r="E214" s="81">
        <f>'r-in'!R168</f>
        <v>1662901.7879567742</v>
      </c>
      <c r="F214" s="162">
        <f>'r-in'!S168</f>
        <v>6.40608459802365</v>
      </c>
      <c r="G214" s="81">
        <f>'r-in'!T168</f>
        <v>3594.8116478795691</v>
      </c>
      <c r="H214" s="162">
        <f>'r-in'!U168</f>
        <v>4.7803657485657522</v>
      </c>
      <c r="I214" s="81">
        <f>'r-in'!V168</f>
        <v>4389.4598017548778</v>
      </c>
      <c r="J214" s="162">
        <f>'r-in'!W168</f>
        <v>3.1919147663078689</v>
      </c>
      <c r="K214" s="81">
        <f>'r-in'!X168</f>
        <v>7598217.3512790911</v>
      </c>
      <c r="L214" s="162">
        <f>'r-in'!Y168</f>
        <v>6.5064814046884765</v>
      </c>
      <c r="M214" s="81">
        <f>'r-in'!Z168</f>
        <v>2921.8873851594071</v>
      </c>
      <c r="N214" s="162">
        <f>'r-in'!AA168</f>
        <v>8.8211885738510194</v>
      </c>
      <c r="O214" s="81">
        <f>'r-in'!AB168</f>
        <v>1623098.6164782294</v>
      </c>
      <c r="P214" s="162">
        <f>'r-in'!AC168</f>
        <v>6.5638181307458332</v>
      </c>
      <c r="Q214" s="81">
        <f>'r-in'!AD168</f>
        <v>7519998.9160528034</v>
      </c>
      <c r="R214" s="162">
        <f>'r-in'!AE168</f>
        <v>6.5745532240958111</v>
      </c>
      <c r="S214" s="157">
        <f>'r-in'!AF168</f>
        <v>4.6169663563871604</v>
      </c>
      <c r="T214" s="157">
        <f>'r-in'!AG168</f>
        <v>3.5004418959574242E-2</v>
      </c>
      <c r="U214" s="157">
        <f>'r-in'!AH168</f>
        <v>4.6315989041081362</v>
      </c>
      <c r="V214" s="157">
        <f>'r-in'!AI168</f>
        <v>3.4473887450032631E-2</v>
      </c>
      <c r="W214" s="158">
        <v>111</v>
      </c>
      <c r="X214" s="764">
        <f t="shared" si="107"/>
        <v>0.88121256181812613</v>
      </c>
      <c r="Y214" s="387">
        <f t="shared" si="109"/>
        <v>4.0814231356031563</v>
      </c>
      <c r="Z214" s="640">
        <f t="shared" si="110"/>
        <v>3.5004418959574242E-2</v>
      </c>
      <c r="AA214" s="473">
        <f t="shared" si="112"/>
        <v>6.6403096813802964</v>
      </c>
      <c r="AB214" s="478">
        <f t="shared" si="113"/>
        <v>0.35236859141685173</v>
      </c>
      <c r="AC214" s="108">
        <v>1</v>
      </c>
      <c r="AD214" s="159">
        <f t="shared" si="108"/>
        <v>7.1336235325154998E-2</v>
      </c>
      <c r="AE214" s="160">
        <v>285</v>
      </c>
      <c r="AF214" s="160">
        <v>14</v>
      </c>
      <c r="AG214" s="160">
        <v>2.1</v>
      </c>
      <c r="AH214" s="303">
        <f t="shared" si="111"/>
        <v>2.3446580850051446</v>
      </c>
      <c r="AI214" s="86">
        <f t="shared" si="114"/>
        <v>2573.6785593612262</v>
      </c>
      <c r="AJ214" s="86"/>
      <c r="AK214" s="86"/>
      <c r="AL214" s="775"/>
      <c r="AM214" s="775"/>
      <c r="AN214" s="536"/>
      <c r="AP214" s="53"/>
      <c r="AQ214" s="108"/>
      <c r="AR214" s="108"/>
      <c r="AS214" s="724"/>
      <c r="AT214" s="724"/>
      <c r="AU214" s="724"/>
      <c r="AV214" s="634"/>
      <c r="AW214" s="108"/>
      <c r="AX214" s="725"/>
      <c r="AY214" s="53"/>
      <c r="AZ214" s="108"/>
      <c r="BA214" s="771"/>
      <c r="BB214" s="108"/>
      <c r="BC214" s="724"/>
      <c r="BD214" s="724"/>
      <c r="BE214" s="724"/>
      <c r="BF214" s="634"/>
      <c r="BG214" s="108"/>
      <c r="BH214" s="725"/>
      <c r="BI214" s="725"/>
      <c r="BJ214" s="725"/>
      <c r="BK214" s="725"/>
      <c r="BL214" s="634"/>
      <c r="BM214" s="724"/>
      <c r="BN214" s="475"/>
      <c r="BO214" s="475"/>
      <c r="BP214" s="10"/>
      <c r="BY214" s="14">
        <v>9.9860000000000007</v>
      </c>
    </row>
    <row r="215" spans="1:77" ht="15" customHeight="1" x14ac:dyDescent="0.15">
      <c r="A215" s="782" t="str">
        <f>'r-in'!A169</f>
        <v>112_U</v>
      </c>
      <c r="B215" s="258" t="s">
        <v>1130</v>
      </c>
      <c r="C215" s="162">
        <f>'r-in'!P169</f>
        <v>4822.8774147101904</v>
      </c>
      <c r="D215" s="162">
        <f>'r-in'!Q169</f>
        <v>3.6196487142638318</v>
      </c>
      <c r="E215" s="81">
        <f>'r-in'!R169</f>
        <v>1297715.011632015</v>
      </c>
      <c r="F215" s="162">
        <f>'r-in'!S169</f>
        <v>2.8032218171584891</v>
      </c>
      <c r="G215" s="81">
        <f>'r-in'!T169</f>
        <v>3720.8610144681211</v>
      </c>
      <c r="H215" s="162">
        <f>'r-in'!U169</f>
        <v>3.9277433681808214</v>
      </c>
      <c r="I215" s="81">
        <f>'r-in'!V169</f>
        <v>4318.9043660724901</v>
      </c>
      <c r="J215" s="162">
        <f>'r-in'!W169</f>
        <v>2.8342897739076811</v>
      </c>
      <c r="K215" s="81">
        <f>'r-in'!X169</f>
        <v>5913161.4855938284</v>
      </c>
      <c r="L215" s="162">
        <f>'r-in'!Y169</f>
        <v>2.8608119380646864</v>
      </c>
      <c r="M215" s="81">
        <f>'r-in'!Z169</f>
        <v>2825.5201300791568</v>
      </c>
      <c r="N215" s="162">
        <f>'r-in'!AA169</f>
        <v>6.6668978009291679</v>
      </c>
      <c r="O215" s="81">
        <f>'r-in'!AB169</f>
        <v>1257925.5832285045</v>
      </c>
      <c r="P215" s="162">
        <f>'r-in'!AC169</f>
        <v>2.8930328883561556</v>
      </c>
      <c r="Q215" s="81">
        <f>'r-in'!AD169</f>
        <v>5835179.3776296237</v>
      </c>
      <c r="R215" s="162">
        <f>'r-in'!AE169</f>
        <v>2.8990395090791314</v>
      </c>
      <c r="S215" s="157">
        <f>'r-in'!AF169</f>
        <v>4.6212268067950628</v>
      </c>
      <c r="T215" s="157">
        <f>'r-in'!AG169</f>
        <v>2.2436342724317396E-2</v>
      </c>
      <c r="U215" s="157">
        <f>'r-in'!AH169</f>
        <v>4.6382941111409579</v>
      </c>
      <c r="V215" s="157">
        <f>'r-in'!AI169</f>
        <v>1.9985475240172863E-2</v>
      </c>
      <c r="W215" s="158">
        <v>112</v>
      </c>
      <c r="X215" s="764">
        <f t="shared" si="107"/>
        <v>0.88123626541717015</v>
      </c>
      <c r="Y215" s="387">
        <f t="shared" si="109"/>
        <v>4.0874329804083107</v>
      </c>
      <c r="Z215" s="640">
        <f t="shared" si="110"/>
        <v>2.2436342724317396E-2</v>
      </c>
      <c r="AA215" s="473">
        <f t="shared" si="112"/>
        <v>8.1225750174647171</v>
      </c>
      <c r="AB215" s="478">
        <f t="shared" si="113"/>
        <v>0.22618583601219377</v>
      </c>
      <c r="AC215" s="108">
        <v>1</v>
      </c>
      <c r="AD215" s="159">
        <f t="shared" si="108"/>
        <v>7.1336235325154998E-2</v>
      </c>
      <c r="AE215" s="160">
        <v>285</v>
      </c>
      <c r="AF215" s="160">
        <v>14</v>
      </c>
      <c r="AG215" s="160">
        <v>2.1</v>
      </c>
      <c r="AH215" s="303">
        <f t="shared" si="111"/>
        <v>1.8209294167486665</v>
      </c>
      <c r="AI215" s="86">
        <f t="shared" si="114"/>
        <v>2065.1699895927309</v>
      </c>
      <c r="AJ215" s="86"/>
      <c r="AK215" s="86"/>
      <c r="AL215" s="86"/>
      <c r="AM215" s="86"/>
      <c r="AN215" s="536"/>
      <c r="AP215" s="53"/>
      <c r="AQ215" s="108"/>
      <c r="AR215" s="110"/>
      <c r="AS215" s="724"/>
      <c r="AT215" s="750"/>
      <c r="AU215" s="750"/>
      <c r="AV215" s="751"/>
      <c r="AW215" s="108"/>
      <c r="AX215" s="724"/>
      <c r="AY215" s="53"/>
      <c r="AZ215" s="108"/>
      <c r="BA215" s="771"/>
      <c r="BB215" s="108"/>
      <c r="BC215" s="724"/>
      <c r="BD215" s="724"/>
      <c r="BE215" s="724"/>
      <c r="BF215" s="634"/>
      <c r="BG215" s="108"/>
      <c r="BH215" s="725"/>
      <c r="BI215" s="725"/>
      <c r="BJ215" s="725"/>
      <c r="BK215" s="725"/>
      <c r="BL215" s="725"/>
      <c r="BM215" s="725"/>
      <c r="BN215" s="475"/>
      <c r="BO215" s="475"/>
      <c r="BP215" s="475"/>
      <c r="BY215" s="14">
        <v>9.9860000000000007</v>
      </c>
    </row>
    <row r="216" spans="1:77" ht="15" customHeight="1" x14ac:dyDescent="0.15">
      <c r="A216" s="782" t="str">
        <f>'r-in'!A170</f>
        <v>113_U</v>
      </c>
      <c r="B216" s="258" t="s">
        <v>1130</v>
      </c>
      <c r="C216" s="162">
        <f>'r-in'!P170</f>
        <v>4543.834330305187</v>
      </c>
      <c r="D216" s="162">
        <f>'r-in'!Q170</f>
        <v>4.2636141280437823</v>
      </c>
      <c r="E216" s="81">
        <f>'r-in'!R170</f>
        <v>1716789.3369166525</v>
      </c>
      <c r="F216" s="162">
        <f>'r-in'!S170</f>
        <v>3.7709803175047436</v>
      </c>
      <c r="G216" s="81">
        <f>'r-in'!T170</f>
        <v>3636.3766859556595</v>
      </c>
      <c r="H216" s="162">
        <f>'r-in'!U170</f>
        <v>5.1187239415795069</v>
      </c>
      <c r="I216" s="81">
        <f>'r-in'!V170</f>
        <v>4128.8366992064493</v>
      </c>
      <c r="J216" s="162">
        <f>'r-in'!W170</f>
        <v>3.4680723217418334</v>
      </c>
      <c r="K216" s="81">
        <f>'r-in'!X170</f>
        <v>7881008.0624950929</v>
      </c>
      <c r="L216" s="162">
        <f>'r-in'!Y170</f>
        <v>3.8344276728201905</v>
      </c>
      <c r="M216" s="81">
        <f>'r-in'!Z170</f>
        <v>3512.3589801985531</v>
      </c>
      <c r="N216" s="162">
        <f>'r-in'!AA170</f>
        <v>7.0009567479948069</v>
      </c>
      <c r="O216" s="81">
        <f>'r-in'!AB170</f>
        <v>1677233.7881260887</v>
      </c>
      <c r="P216" s="162">
        <f>'r-in'!AC170</f>
        <v>3.8611988001153845</v>
      </c>
      <c r="Q216" s="81">
        <f>'r-in'!AD170</f>
        <v>7802032.4173249174</v>
      </c>
      <c r="R216" s="162">
        <f>'r-in'!AE170</f>
        <v>3.8725434379499513</v>
      </c>
      <c r="S216" s="157">
        <f>'r-in'!AF170</f>
        <v>4.6363005355642484</v>
      </c>
      <c r="T216" s="157">
        <f>'r-in'!AG170</f>
        <v>3.3632391054256146E-2</v>
      </c>
      <c r="U216" s="157">
        <f>'r-in'!AH170</f>
        <v>4.6503682868888641</v>
      </c>
      <c r="V216" s="157">
        <f>'r-in'!AI170</f>
        <v>2.7388333310588583E-2</v>
      </c>
      <c r="W216" s="158">
        <v>113</v>
      </c>
      <c r="X216" s="764">
        <f t="shared" si="107"/>
        <v>0.88125999071704153</v>
      </c>
      <c r="Y216" s="387">
        <f t="shared" si="109"/>
        <v>4.0981835133345044</v>
      </c>
      <c r="Z216" s="640">
        <f t="shared" si="110"/>
        <v>3.3632391054256146E-2</v>
      </c>
      <c r="AA216" s="473">
        <f t="shared" si="112"/>
        <v>10.77408147354908</v>
      </c>
      <c r="AB216" s="478">
        <f t="shared" si="113"/>
        <v>0.33994749175647598</v>
      </c>
      <c r="AC216" s="108">
        <v>1</v>
      </c>
      <c r="AD216" s="159">
        <f t="shared" si="108"/>
        <v>7.1336235325154998E-2</v>
      </c>
      <c r="AE216" s="160">
        <v>285</v>
      </c>
      <c r="AF216" s="160">
        <v>14</v>
      </c>
      <c r="AG216" s="160">
        <v>2.1</v>
      </c>
      <c r="AH216" s="303">
        <f t="shared" si="111"/>
        <v>2.4367954937780265</v>
      </c>
      <c r="AI216" s="86">
        <f t="shared" si="114"/>
        <v>2221.308374602379</v>
      </c>
      <c r="AJ216" s="86"/>
      <c r="AK216" s="86"/>
      <c r="AL216" s="775"/>
      <c r="AM216" s="775"/>
      <c r="AN216" s="536"/>
      <c r="AP216" s="53"/>
      <c r="AQ216" s="108"/>
      <c r="AR216" s="108"/>
      <c r="AS216" s="724"/>
      <c r="AT216" s="724"/>
      <c r="AU216" s="724"/>
      <c r="AV216" s="634"/>
      <c r="AW216" s="108"/>
      <c r="AX216" s="725"/>
      <c r="AY216" s="53"/>
      <c r="AZ216" s="108"/>
      <c r="BA216" s="771"/>
      <c r="BB216" s="108"/>
      <c r="BC216" s="724"/>
      <c r="BD216" s="724"/>
      <c r="BE216" s="724"/>
      <c r="BF216" s="634"/>
      <c r="BG216" s="108"/>
      <c r="BH216" s="725"/>
      <c r="BI216" s="725"/>
      <c r="BJ216" s="725"/>
      <c r="BK216" s="725"/>
      <c r="BL216" s="634"/>
      <c r="BM216" s="724"/>
      <c r="BN216" s="475"/>
      <c r="BO216" s="475"/>
      <c r="BP216" s="10"/>
      <c r="BY216" s="14">
        <v>9.9860000000000007</v>
      </c>
    </row>
    <row r="217" spans="1:77" ht="15" customHeight="1" x14ac:dyDescent="0.15">
      <c r="A217" s="782" t="str">
        <f>'r-in'!A171</f>
        <v>114_U</v>
      </c>
      <c r="B217" s="258" t="s">
        <v>1130</v>
      </c>
      <c r="C217" s="162">
        <f>'r-in'!P171</f>
        <v>4675.3854330336771</v>
      </c>
      <c r="D217" s="162">
        <f>'r-in'!Q171</f>
        <v>3.9429409898860985</v>
      </c>
      <c r="E217" s="81">
        <f>'r-in'!R171</f>
        <v>1111054.504962398</v>
      </c>
      <c r="F217" s="162">
        <f>'r-in'!S171</f>
        <v>2.2547339290803112</v>
      </c>
      <c r="G217" s="81">
        <f>'r-in'!T171</f>
        <v>3306.1362165637811</v>
      </c>
      <c r="H217" s="162">
        <f>'r-in'!U171</f>
        <v>4.6407213003840724</v>
      </c>
      <c r="I217" s="81">
        <f>'r-in'!V171</f>
        <v>4049.2017375664082</v>
      </c>
      <c r="J217" s="162">
        <f>'r-in'!W171</f>
        <v>2.8640118393844656</v>
      </c>
      <c r="K217" s="81">
        <f>'r-in'!X171</f>
        <v>5043211.5728572728</v>
      </c>
      <c r="L217" s="162">
        <f>'r-in'!Y171</f>
        <v>2.308947276765748</v>
      </c>
      <c r="M217" s="81">
        <f>'r-in'!Z171</f>
        <v>2792.2492289979896</v>
      </c>
      <c r="N217" s="162">
        <f>'r-in'!AA171</f>
        <v>8.091426177757377</v>
      </c>
      <c r="O217" s="81">
        <f>'r-in'!AB171</f>
        <v>1071550.475296973</v>
      </c>
      <c r="P217" s="162">
        <f>'r-in'!AC171</f>
        <v>2.3392938322827073</v>
      </c>
      <c r="Q217" s="81">
        <f>'r-in'!AD171</f>
        <v>4965169.4313732209</v>
      </c>
      <c r="R217" s="162">
        <f>'r-in'!AE171</f>
        <v>2.3454031155466564</v>
      </c>
      <c r="S217" s="157">
        <f>'r-in'!AF171</f>
        <v>4.6145966803288356</v>
      </c>
      <c r="T217" s="157">
        <f>'r-in'!AG171</f>
        <v>2.3723038645911965E-2</v>
      </c>
      <c r="U217" s="157">
        <f>'r-in'!AH171</f>
        <v>4.6333536875146546</v>
      </c>
      <c r="V217" s="157">
        <f>'r-in'!AI171</f>
        <v>2.2318582061202026E-2</v>
      </c>
      <c r="W217" s="158">
        <v>114</v>
      </c>
      <c r="X217" s="764">
        <f t="shared" si="107"/>
        <v>0.88128373056839537</v>
      </c>
      <c r="Y217" s="387">
        <f t="shared" si="109"/>
        <v>4.0832992227757456</v>
      </c>
      <c r="Z217" s="640">
        <f t="shared" si="110"/>
        <v>2.3723038645911965E-2</v>
      </c>
      <c r="AA217" s="473">
        <f t="shared" si="112"/>
        <v>7.1030269517191602</v>
      </c>
      <c r="AB217" s="478">
        <f t="shared" si="113"/>
        <v>0.23891544028797895</v>
      </c>
      <c r="AC217" s="108">
        <v>1</v>
      </c>
      <c r="AD217" s="159">
        <f t="shared" si="108"/>
        <v>7.1336235325154998E-2</v>
      </c>
      <c r="AE217" s="160">
        <v>285</v>
      </c>
      <c r="AF217" s="160">
        <v>14</v>
      </c>
      <c r="AG217" s="160">
        <v>2.1</v>
      </c>
      <c r="AH217" s="303">
        <f t="shared" si="111"/>
        <v>1.5520766756942734</v>
      </c>
      <c r="AI217" s="86">
        <f t="shared" si="114"/>
        <v>1778.1970820545246</v>
      </c>
      <c r="AJ217" s="86"/>
      <c r="AK217" s="86"/>
      <c r="AL217" s="86"/>
      <c r="AM217" s="86"/>
      <c r="AN217" s="536"/>
      <c r="AP217" s="53"/>
      <c r="AQ217" s="108"/>
      <c r="AR217" s="110"/>
      <c r="AS217" s="724"/>
      <c r="AT217" s="750"/>
      <c r="AU217" s="750"/>
      <c r="AV217" s="751"/>
      <c r="AW217" s="108"/>
      <c r="AX217" s="724"/>
      <c r="AY217" s="53"/>
      <c r="AZ217" s="108"/>
      <c r="BA217" s="771"/>
      <c r="BB217" s="108"/>
      <c r="BC217" s="724"/>
      <c r="BD217" s="724"/>
      <c r="BE217" s="724"/>
      <c r="BF217" s="634"/>
      <c r="BG217" s="108"/>
      <c r="BH217" s="725"/>
      <c r="BI217" s="725"/>
      <c r="BJ217" s="725"/>
      <c r="BK217" s="725"/>
      <c r="BL217" s="725"/>
      <c r="BM217" s="725"/>
      <c r="BN217" s="475"/>
      <c r="BO217" s="475"/>
      <c r="BP217" s="475"/>
      <c r="BY217" s="14">
        <v>9.9860000000000007</v>
      </c>
    </row>
    <row r="218" spans="1:77" s="437" customFormat="1" ht="15" customHeight="1" x14ac:dyDescent="0.2">
      <c r="A218" s="786" t="str">
        <f>'r-in'!A172</f>
        <v>115_U</v>
      </c>
      <c r="B218" s="707" t="s">
        <v>922</v>
      </c>
      <c r="C218" s="567">
        <f>'r-in'!P172</f>
        <v>2794.9310751187854</v>
      </c>
      <c r="D218" s="567">
        <f>'r-in'!Q172</f>
        <v>6.9845868242354454</v>
      </c>
      <c r="E218" s="568">
        <f>'r-in'!R172</f>
        <v>456724.80646588886</v>
      </c>
      <c r="F218" s="567">
        <f>'r-in'!S172</f>
        <v>3.2112784071181455</v>
      </c>
      <c r="G218" s="568">
        <f>'r-in'!T172</f>
        <v>3235.7713720418596</v>
      </c>
      <c r="H218" s="567">
        <f>'r-in'!U172</f>
        <v>18.463545869445493</v>
      </c>
      <c r="I218" s="568">
        <f>'r-in'!V172</f>
        <v>2996.5357230658301</v>
      </c>
      <c r="J218" s="567">
        <f>'r-in'!W172</f>
        <v>9.6241858244850977</v>
      </c>
      <c r="K218" s="568">
        <f>'r-in'!X172</f>
        <v>1980948.9497428481</v>
      </c>
      <c r="L218" s="567">
        <f>'r-in'!Y172</f>
        <v>3.3445946755544353</v>
      </c>
      <c r="M218" s="568">
        <f>'r-in'!Z172</f>
        <v>2449.4255328841691</v>
      </c>
      <c r="N218" s="567">
        <f>'r-in'!AA172</f>
        <v>9.1494094805528405</v>
      </c>
      <c r="O218" s="568">
        <f>'r-in'!AB172</f>
        <v>418368.30834999948</v>
      </c>
      <c r="P218" s="567">
        <f>'r-in'!AC172</f>
        <v>3.4959625925272717</v>
      </c>
      <c r="Q218" s="568">
        <f>'r-in'!AD172</f>
        <v>1903539.0242038679</v>
      </c>
      <c r="R218" s="567">
        <f>'r-in'!AE172</f>
        <v>3.4810610926548873</v>
      </c>
      <c r="S218" s="588">
        <f>'r-in'!AF172</f>
        <v>4.5171930930510307</v>
      </c>
      <c r="T218" s="588">
        <f>'r-in'!AG172</f>
        <v>2.5569535909249395E-2</v>
      </c>
      <c r="U218" s="588">
        <f>'r-in'!AH172</f>
        <v>4.5514614030144003</v>
      </c>
      <c r="V218" s="588">
        <f>'r-in'!AI172</f>
        <v>7.8433175354766474E-2</v>
      </c>
      <c r="W218" s="569">
        <v>115</v>
      </c>
      <c r="X218" s="776">
        <f t="shared" si="107"/>
        <v>0.88130747793780095</v>
      </c>
      <c r="Y218" s="610">
        <f t="shared" si="109"/>
        <v>4.0112369700218657</v>
      </c>
      <c r="Z218" s="639">
        <f t="shared" si="110"/>
        <v>2.5569535909249395E-2</v>
      </c>
      <c r="AA218" s="666">
        <f t="shared" si="112"/>
        <v>-10.670373653504539</v>
      </c>
      <c r="AB218" s="667">
        <f t="shared" si="113"/>
        <v>0.25296699406951539</v>
      </c>
      <c r="AC218" s="570">
        <v>1</v>
      </c>
      <c r="AD218" s="787">
        <f t="shared" si="108"/>
        <v>7.1336235325154998E-2</v>
      </c>
      <c r="AE218" s="571">
        <v>285</v>
      </c>
      <c r="AF218" s="571">
        <v>14</v>
      </c>
      <c r="AG218" s="571">
        <v>2.1</v>
      </c>
      <c r="AH218" s="572">
        <f t="shared" si="111"/>
        <v>0.59553055680630851</v>
      </c>
      <c r="AI218" s="742">
        <f t="shared" si="114"/>
        <v>777.1369240045741</v>
      </c>
      <c r="AJ218" s="742"/>
      <c r="AK218" s="742"/>
      <c r="AL218" s="788">
        <f>AGaverage(AA218:AA232)</f>
        <v>-13.071719559885871</v>
      </c>
      <c r="AM218" s="788">
        <f>STDEV(AA218:AA232)/(COUNT(AA218:AA232)-1)^0.5</f>
        <v>0.33004615783284985</v>
      </c>
      <c r="AN218" s="573"/>
      <c r="AP218" s="240"/>
      <c r="AQ218" s="570"/>
      <c r="AR218" s="570"/>
      <c r="AS218" s="723"/>
      <c r="AT218" s="723"/>
      <c r="AU218" s="723"/>
      <c r="AV218" s="624"/>
      <c r="AW218" s="570"/>
      <c r="AX218" s="769"/>
      <c r="AY218" s="240"/>
      <c r="AZ218" s="570"/>
      <c r="BA218" s="770"/>
      <c r="BB218" s="570"/>
      <c r="BC218" s="723"/>
      <c r="BD218" s="723"/>
      <c r="BE218" s="723"/>
      <c r="BF218" s="624"/>
      <c r="BG218" s="570"/>
      <c r="BH218" s="769"/>
      <c r="BI218" s="769"/>
      <c r="BJ218" s="769"/>
      <c r="BK218" s="769"/>
      <c r="BL218" s="624"/>
      <c r="BM218" s="723"/>
      <c r="BN218" s="574"/>
      <c r="BO218" s="574"/>
      <c r="BP218" s="576"/>
      <c r="BY218" s="437">
        <v>9.9860000000000007</v>
      </c>
    </row>
    <row r="219" spans="1:77" ht="15" customHeight="1" x14ac:dyDescent="0.2">
      <c r="A219" s="782" t="str">
        <f>'r-in'!A173</f>
        <v>116_U</v>
      </c>
      <c r="B219" s="707" t="s">
        <v>922</v>
      </c>
      <c r="C219" s="162">
        <f>'r-in'!P173</f>
        <v>2683.365540104729</v>
      </c>
      <c r="D219" s="162">
        <f>'r-in'!Q173</f>
        <v>6.5212497861891503</v>
      </c>
      <c r="E219" s="81">
        <f>'r-in'!R173</f>
        <v>417335.90397450794</v>
      </c>
      <c r="F219" s="162">
        <f>'r-in'!S173</f>
        <v>6.620484786703277</v>
      </c>
      <c r="G219" s="81">
        <f>'r-in'!T173</f>
        <v>2374.4108903585575</v>
      </c>
      <c r="H219" s="162">
        <f>'r-in'!U173</f>
        <v>24.720694404566412</v>
      </c>
      <c r="I219" s="81">
        <f>'r-in'!V173</f>
        <v>2542.0747056950331</v>
      </c>
      <c r="J219" s="162">
        <f>'r-in'!W173</f>
        <v>11.071280167310446</v>
      </c>
      <c r="K219" s="81">
        <f>'r-in'!X173</f>
        <v>1802960.954170008</v>
      </c>
      <c r="L219" s="162">
        <f>'r-in'!Y173</f>
        <v>6.9555790917616234</v>
      </c>
      <c r="M219" s="81">
        <f>'r-in'!Z173</f>
        <v>2363.3674777001247</v>
      </c>
      <c r="N219" s="162">
        <f>'r-in'!AA173</f>
        <v>8.6515249537359349</v>
      </c>
      <c r="O219" s="81">
        <f>'r-in'!AB173</f>
        <v>379403.45513040898</v>
      </c>
      <c r="P219" s="162">
        <f>'r-in'!AC173</f>
        <v>7.2659321593587984</v>
      </c>
      <c r="Q219" s="81">
        <f>'r-in'!AD173</f>
        <v>1724731.0759420402</v>
      </c>
      <c r="R219" s="162">
        <f>'r-in'!AE173</f>
        <v>7.2659855944937215</v>
      </c>
      <c r="S219" s="157">
        <f>'r-in'!AF173</f>
        <v>4.5037511356745847</v>
      </c>
      <c r="T219" s="157">
        <f>'r-in'!AG173</f>
        <v>5.3929879178133619E-2</v>
      </c>
      <c r="U219" s="157">
        <f>'r-in'!AH173</f>
        <v>4.5465772206020612</v>
      </c>
      <c r="V219" s="157">
        <f>'r-in'!AI173</f>
        <v>9.3938866660423753E-2</v>
      </c>
      <c r="W219" s="158">
        <v>116</v>
      </c>
      <c r="X219" s="764">
        <f t="shared" si="107"/>
        <v>0.88133122590777124</v>
      </c>
      <c r="Y219" s="387">
        <f t="shared" si="109"/>
        <v>4.0070404755175622</v>
      </c>
      <c r="Z219" s="640">
        <f t="shared" si="110"/>
        <v>5.3929879178133619E-2</v>
      </c>
      <c r="AA219" s="473">
        <f t="shared" si="112"/>
        <v>-11.705395112205697</v>
      </c>
      <c r="AB219" s="478">
        <f t="shared" si="113"/>
        <v>0.53298608634000288</v>
      </c>
      <c r="AC219" s="108">
        <v>1</v>
      </c>
      <c r="AD219" s="159">
        <f t="shared" si="108"/>
        <v>7.1336235325154998E-2</v>
      </c>
      <c r="AE219" s="160">
        <v>285</v>
      </c>
      <c r="AF219" s="160">
        <v>14</v>
      </c>
      <c r="AG219" s="160">
        <v>2.1</v>
      </c>
      <c r="AH219" s="303">
        <f t="shared" si="111"/>
        <v>0.54003546613602027</v>
      </c>
      <c r="AI219" s="86">
        <f t="shared" si="114"/>
        <v>729.77693575627779</v>
      </c>
      <c r="AJ219" s="86"/>
      <c r="AK219" s="86"/>
      <c r="AL219" s="86"/>
      <c r="AM219" s="86"/>
      <c r="AN219" s="536"/>
      <c r="AP219" s="53"/>
      <c r="AQ219" s="108"/>
      <c r="AR219" s="110"/>
      <c r="AS219" s="724"/>
      <c r="AT219" s="750"/>
      <c r="AU219" s="750"/>
      <c r="AV219" s="751"/>
      <c r="AW219" s="108"/>
      <c r="AX219" s="724"/>
      <c r="AY219" s="53"/>
      <c r="AZ219" s="108"/>
      <c r="BA219" s="771"/>
      <c r="BB219" s="108"/>
      <c r="BC219" s="724"/>
      <c r="BD219" s="724"/>
      <c r="BE219" s="724"/>
      <c r="BF219" s="634"/>
      <c r="BG219" s="108"/>
      <c r="BH219" s="725"/>
      <c r="BI219" s="725"/>
      <c r="BJ219" s="725"/>
      <c r="BK219" s="725"/>
      <c r="BL219" s="725"/>
      <c r="BM219" s="725"/>
      <c r="BN219" s="475"/>
      <c r="BO219" s="475"/>
      <c r="BP219" s="475"/>
      <c r="BY219" s="14">
        <v>9.9860000000000007</v>
      </c>
    </row>
    <row r="220" spans="1:77" ht="15" customHeight="1" x14ac:dyDescent="0.2">
      <c r="A220" s="301" t="str">
        <f>'r-in'!A174</f>
        <v>117_U</v>
      </c>
      <c r="B220" s="707" t="s">
        <v>922</v>
      </c>
      <c r="C220" s="162">
        <f>'r-in'!P174</f>
        <v>2418.5124582549079</v>
      </c>
      <c r="D220" s="162">
        <f>'r-in'!Q174</f>
        <v>8.4407387147114701</v>
      </c>
      <c r="E220" s="81">
        <f>'r-in'!R174</f>
        <v>454183.01339705894</v>
      </c>
      <c r="F220" s="162">
        <f>'r-in'!S174</f>
        <v>3.7136825970199223</v>
      </c>
      <c r="G220" s="81">
        <f>'r-in'!T174</f>
        <v>1868.5953067433798</v>
      </c>
      <c r="H220" s="162">
        <f>'r-in'!U174</f>
        <v>35.133157445272303</v>
      </c>
      <c r="I220" s="81">
        <f>'r-in'!V174</f>
        <v>2167.0248912054999</v>
      </c>
      <c r="J220" s="162">
        <f>'r-in'!W174</f>
        <v>13.548218019086377</v>
      </c>
      <c r="K220" s="81">
        <f>'r-in'!X174</f>
        <v>1968460.6928316178</v>
      </c>
      <c r="L220" s="162">
        <f>'r-in'!Y174</f>
        <v>3.9114924857316833</v>
      </c>
      <c r="M220" s="81">
        <f>'r-in'!Z174</f>
        <v>2634.2308819190794</v>
      </c>
      <c r="N220" s="162">
        <f>'r-in'!AA174</f>
        <v>8.0358105236720334</v>
      </c>
      <c r="O220" s="81">
        <f>'r-in'!AB174</f>
        <v>416642.43407197006</v>
      </c>
      <c r="P220" s="162">
        <f>'r-in'!AC174</f>
        <v>4.0477581939669491</v>
      </c>
      <c r="Q220" s="81">
        <f>'r-in'!AD174</f>
        <v>1889882.1166906666</v>
      </c>
      <c r="R220" s="162">
        <f>'r-in'!AE174</f>
        <v>4.0729416330811858</v>
      </c>
      <c r="S220" s="157">
        <f>'r-in'!AF174</f>
        <v>4.5102422666509732</v>
      </c>
      <c r="T220" s="157">
        <f>'r-in'!AG174</f>
        <v>6.137557381399332E-2</v>
      </c>
      <c r="U220" s="157">
        <f>'r-in'!AH174</f>
        <v>4.5328177199382189</v>
      </c>
      <c r="V220" s="157">
        <f>'r-in'!AI174</f>
        <v>7.5220656929736576E-2</v>
      </c>
      <c r="W220" s="158">
        <v>117</v>
      </c>
      <c r="X220" s="764">
        <f t="shared" si="107"/>
        <v>0.88135496767679344</v>
      </c>
      <c r="Y220" s="387">
        <f t="shared" si="109"/>
        <v>3.9950214150409455</v>
      </c>
      <c r="Z220" s="640">
        <f t="shared" si="110"/>
        <v>6.137557381399332E-2</v>
      </c>
      <c r="AA220" s="473">
        <f t="shared" si="112"/>
        <v>-14.669770615132416</v>
      </c>
      <c r="AB220" s="478">
        <f t="shared" si="113"/>
        <v>0.60475208224775123</v>
      </c>
      <c r="AC220" s="108">
        <v>1</v>
      </c>
      <c r="AD220" s="159">
        <f t="shared" si="108"/>
        <v>7.1336235325154998E-2</v>
      </c>
      <c r="AE220" s="160">
        <v>285</v>
      </c>
      <c r="AF220" s="160">
        <v>14</v>
      </c>
      <c r="AG220" s="160">
        <v>2.1</v>
      </c>
      <c r="AH220" s="303">
        <f t="shared" si="111"/>
        <v>0.59222912919661175</v>
      </c>
      <c r="AI220" s="86">
        <f t="shared" si="114"/>
        <v>717.43222268879379</v>
      </c>
      <c r="AJ220" s="86"/>
      <c r="AK220" s="86"/>
      <c r="AL220" s="775"/>
      <c r="AM220" s="775"/>
      <c r="AN220" s="536"/>
      <c r="AP220" s="53"/>
      <c r="AQ220" s="108"/>
      <c r="AR220" s="108"/>
      <c r="AS220" s="724"/>
      <c r="AT220" s="724"/>
      <c r="AU220" s="724"/>
      <c r="AV220" s="634"/>
      <c r="AW220" s="108"/>
      <c r="AX220" s="725"/>
      <c r="AY220" s="53"/>
      <c r="AZ220" s="108"/>
      <c r="BA220" s="771"/>
      <c r="BB220" s="108"/>
      <c r="BC220" s="724"/>
      <c r="BD220" s="724"/>
      <c r="BE220" s="724"/>
      <c r="BF220" s="634"/>
      <c r="BG220" s="108"/>
      <c r="BH220" s="725"/>
      <c r="BI220" s="725"/>
      <c r="BJ220" s="725"/>
      <c r="BK220" s="725"/>
      <c r="BL220" s="634"/>
      <c r="BM220" s="724"/>
      <c r="BN220" s="475"/>
      <c r="BO220" s="475"/>
      <c r="BP220" s="10"/>
      <c r="BY220" s="14">
        <v>9.9860000000000007</v>
      </c>
    </row>
    <row r="221" spans="1:77" ht="15" customHeight="1" x14ac:dyDescent="0.2">
      <c r="A221" s="782" t="str">
        <f>'r-in'!A175</f>
        <v>118_U</v>
      </c>
      <c r="B221" s="707" t="s">
        <v>922</v>
      </c>
      <c r="C221" s="162">
        <f>'r-in'!P175</f>
        <v>2847.7672364323639</v>
      </c>
      <c r="D221" s="162">
        <f>'r-in'!Q175</f>
        <v>7.3520377594835864</v>
      </c>
      <c r="E221" s="81">
        <f>'r-in'!R175</f>
        <v>543849.56320414995</v>
      </c>
      <c r="F221" s="162">
        <f>'r-in'!S175</f>
        <v>5.8105976015608922</v>
      </c>
      <c r="G221" s="81">
        <f>'r-in'!T175</f>
        <v>2798.0163817840976</v>
      </c>
      <c r="H221" s="162">
        <f>'r-in'!U175</f>
        <v>20.931660676118891</v>
      </c>
      <c r="I221" s="81">
        <f>'r-in'!V175</f>
        <v>2825.015224861655</v>
      </c>
      <c r="J221" s="162">
        <f>'r-in'!W175</f>
        <v>10.059761450386068</v>
      </c>
      <c r="K221" s="81">
        <f>'r-in'!X175</f>
        <v>2377103.736057661</v>
      </c>
      <c r="L221" s="162">
        <f>'r-in'!Y175</f>
        <v>6.0284819643738965</v>
      </c>
      <c r="M221" s="81">
        <f>'r-in'!Z175</f>
        <v>3358.284539074155</v>
      </c>
      <c r="N221" s="162">
        <f>'r-in'!AA175</f>
        <v>8.7070155180102002</v>
      </c>
      <c r="O221" s="81">
        <f>'r-in'!AB175</f>
        <v>505793.25311774324</v>
      </c>
      <c r="P221" s="162">
        <f>'r-in'!AC175</f>
        <v>6.2253295782136622</v>
      </c>
      <c r="Q221" s="81">
        <f>'r-in'!AD175</f>
        <v>2297924.7937464402</v>
      </c>
      <c r="R221" s="162">
        <f>'r-in'!AE175</f>
        <v>6.2298056297117581</v>
      </c>
      <c r="S221" s="157">
        <f>'r-in'!AF175</f>
        <v>4.5141330593255145</v>
      </c>
      <c r="T221" s="157">
        <f>'r-in'!AG175</f>
        <v>3.9882479597756322E-2</v>
      </c>
      <c r="U221" s="157">
        <f>'r-in'!AH175</f>
        <v>4.5425994789895583</v>
      </c>
      <c r="V221" s="157">
        <f>'r-in'!AI175</f>
        <v>6.2434710301310176E-2</v>
      </c>
      <c r="W221" s="158">
        <v>118</v>
      </c>
      <c r="X221" s="764">
        <f t="shared" si="107"/>
        <v>0.88137869655936063</v>
      </c>
      <c r="Y221" s="387">
        <f t="shared" si="109"/>
        <v>4.0037504077830475</v>
      </c>
      <c r="Z221" s="640">
        <f t="shared" si="110"/>
        <v>3.9882479597756322E-2</v>
      </c>
      <c r="AA221" s="473">
        <f t="shared" si="112"/>
        <v>-12.516855892700129</v>
      </c>
      <c r="AB221" s="478">
        <f t="shared" si="113"/>
        <v>0.39383276347992968</v>
      </c>
      <c r="AC221" s="108">
        <v>1</v>
      </c>
      <c r="AD221" s="159">
        <f t="shared" si="108"/>
        <v>7.1336235325154998E-2</v>
      </c>
      <c r="AE221" s="160">
        <v>285</v>
      </c>
      <c r="AF221" s="160">
        <v>14</v>
      </c>
      <c r="AG221" s="160">
        <v>2.1</v>
      </c>
      <c r="AH221" s="303">
        <f t="shared" si="111"/>
        <v>0.72067690794937278</v>
      </c>
      <c r="AI221" s="86">
        <f t="shared" si="114"/>
        <v>684.25553791220887</v>
      </c>
      <c r="AJ221" s="86"/>
      <c r="AK221" s="86"/>
      <c r="AL221" s="86"/>
      <c r="AM221" s="86"/>
      <c r="AN221" s="536"/>
      <c r="AP221" s="53"/>
      <c r="AQ221" s="108"/>
      <c r="AR221" s="110"/>
      <c r="AS221" s="724"/>
      <c r="AT221" s="750"/>
      <c r="AU221" s="750"/>
      <c r="AV221" s="751"/>
      <c r="AW221" s="108"/>
      <c r="AX221" s="724"/>
      <c r="AY221" s="53"/>
      <c r="AZ221" s="108"/>
      <c r="BA221" s="771"/>
      <c r="BB221" s="108"/>
      <c r="BC221" s="724"/>
      <c r="BD221" s="724"/>
      <c r="BE221" s="724"/>
      <c r="BF221" s="634"/>
      <c r="BG221" s="108"/>
      <c r="BH221" s="725"/>
      <c r="BI221" s="725"/>
      <c r="BJ221" s="725"/>
      <c r="BK221" s="725"/>
      <c r="BL221" s="725"/>
      <c r="BM221" s="725"/>
      <c r="BN221" s="475"/>
      <c r="BO221" s="475"/>
      <c r="BP221" s="475"/>
      <c r="BY221" s="14">
        <v>9.9860000000000007</v>
      </c>
    </row>
    <row r="222" spans="1:77" ht="15" customHeight="1" x14ac:dyDescent="0.2">
      <c r="A222" s="301" t="str">
        <f>'r-in'!A176</f>
        <v>119_U</v>
      </c>
      <c r="B222" s="707" t="s">
        <v>922</v>
      </c>
      <c r="C222" s="162">
        <f>'r-in'!P176</f>
        <v>3115.4380222033833</v>
      </c>
      <c r="D222" s="162">
        <f>'r-in'!Q176</f>
        <v>8.037099474829569</v>
      </c>
      <c r="E222" s="81">
        <f>'r-in'!R176</f>
        <v>448271.72606183385</v>
      </c>
      <c r="F222" s="162">
        <f>'r-in'!S176</f>
        <v>6.8533494555611405</v>
      </c>
      <c r="G222" s="81">
        <f>'r-in'!T176</f>
        <v>2013.910132651702</v>
      </c>
      <c r="H222" s="162">
        <f>'r-in'!U176</f>
        <v>27.248880463356166</v>
      </c>
      <c r="I222" s="81">
        <f>'r-in'!V176</f>
        <v>2611.6883787907523</v>
      </c>
      <c r="J222" s="162">
        <f>'r-in'!W176</f>
        <v>11.373886459293168</v>
      </c>
      <c r="K222" s="81">
        <f>'r-in'!X176</f>
        <v>1940688.5896462717</v>
      </c>
      <c r="L222" s="162">
        <f>'r-in'!Y176</f>
        <v>7.1719641914463441</v>
      </c>
      <c r="M222" s="81">
        <f>'r-in'!Z176</f>
        <v>2795.4972548246219</v>
      </c>
      <c r="N222" s="162">
        <f>'r-in'!AA176</f>
        <v>8.2166032315127708</v>
      </c>
      <c r="O222" s="81">
        <f>'r-in'!AB176</f>
        <v>410210.79774002364</v>
      </c>
      <c r="P222" s="162">
        <f>'r-in'!AC176</f>
        <v>7.4614146314402543</v>
      </c>
      <c r="Q222" s="81">
        <f>'r-in'!AD176</f>
        <v>1862151.6354068478</v>
      </c>
      <c r="R222" s="162">
        <f>'r-in'!AE176</f>
        <v>7.4728454006981471</v>
      </c>
      <c r="S222" s="157">
        <f>'r-in'!AF176</f>
        <v>4.5086852481287529</v>
      </c>
      <c r="T222" s="157">
        <f>'r-in'!AG176</f>
        <v>4.7768380441135808E-2</v>
      </c>
      <c r="U222" s="157">
        <f>'r-in'!AH176</f>
        <v>4.5377801284942452</v>
      </c>
      <c r="V222" s="157">
        <f>'r-in'!AI176</f>
        <v>7.368364065195275E-2</v>
      </c>
      <c r="W222" s="158">
        <v>119</v>
      </c>
      <c r="X222" s="764">
        <f t="shared" si="107"/>
        <v>0.88140240598600617</v>
      </c>
      <c r="Y222" s="387">
        <f t="shared" si="109"/>
        <v>3.9996103230903159</v>
      </c>
      <c r="Z222" s="640">
        <f t="shared" si="110"/>
        <v>4.7768380441135808E-2</v>
      </c>
      <c r="AA222" s="473">
        <f t="shared" si="112"/>
        <v>-13.537964461631248</v>
      </c>
      <c r="AB222" s="478">
        <f t="shared" si="113"/>
        <v>0.47121693804341547</v>
      </c>
      <c r="AC222" s="108">
        <v>1</v>
      </c>
      <c r="AD222" s="159">
        <f t="shared" si="108"/>
        <v>7.1336235325154998E-2</v>
      </c>
      <c r="AE222" s="160">
        <v>285</v>
      </c>
      <c r="AF222" s="160">
        <v>14</v>
      </c>
      <c r="AG222" s="160">
        <v>2.1</v>
      </c>
      <c r="AH222" s="303">
        <f t="shared" si="111"/>
        <v>0.58447405918691586</v>
      </c>
      <c r="AI222" s="86">
        <f t="shared" si="114"/>
        <v>666.12536721080471</v>
      </c>
      <c r="AJ222" s="86"/>
      <c r="AK222" s="86"/>
      <c r="AL222" s="775"/>
      <c r="AM222" s="775"/>
      <c r="AN222" s="536"/>
      <c r="AP222" s="53"/>
      <c r="AQ222" s="108"/>
      <c r="AR222" s="108"/>
      <c r="AS222" s="724"/>
      <c r="AT222" s="724"/>
      <c r="AU222" s="724"/>
      <c r="AV222" s="634"/>
      <c r="AW222" s="108"/>
      <c r="AX222" s="725"/>
      <c r="AY222" s="53"/>
      <c r="AZ222" s="108"/>
      <c r="BA222" s="771"/>
      <c r="BB222" s="108"/>
      <c r="BC222" s="724"/>
      <c r="BD222" s="724"/>
      <c r="BE222" s="724"/>
      <c r="BF222" s="634"/>
      <c r="BG222" s="108"/>
      <c r="BH222" s="725"/>
      <c r="BI222" s="725"/>
      <c r="BJ222" s="725"/>
      <c r="BK222" s="725"/>
      <c r="BL222" s="634"/>
      <c r="BM222" s="724"/>
      <c r="BN222" s="475"/>
      <c r="BO222" s="475"/>
      <c r="BP222" s="10"/>
      <c r="BY222" s="14">
        <v>9.9860000000000007</v>
      </c>
    </row>
    <row r="223" spans="1:77" ht="15" customHeight="1" x14ac:dyDescent="0.2">
      <c r="A223" s="782" t="str">
        <f>'r-in'!A177</f>
        <v>120_U</v>
      </c>
      <c r="B223" s="707" t="s">
        <v>922</v>
      </c>
      <c r="C223" s="162">
        <f>'r-in'!P177</f>
        <v>2992.7217400021405</v>
      </c>
      <c r="D223" s="162">
        <f>'r-in'!Q177</f>
        <v>5.9335334296438988</v>
      </c>
      <c r="E223" s="81">
        <f>'r-in'!R177</f>
        <v>488409.59751971054</v>
      </c>
      <c r="F223" s="162">
        <f>'r-in'!S177</f>
        <v>7.0321957711620282</v>
      </c>
      <c r="G223" s="81">
        <f>'r-in'!T177</f>
        <v>2208.465314285259</v>
      </c>
      <c r="H223" s="162">
        <f>'r-in'!U177</f>
        <v>26.707844300546324</v>
      </c>
      <c r="I223" s="81">
        <f>'r-in'!V177</f>
        <v>2634.0663681806104</v>
      </c>
      <c r="J223" s="162">
        <f>'r-in'!W177</f>
        <v>10.897236455020147</v>
      </c>
      <c r="K223" s="81">
        <f>'r-in'!X177</f>
        <v>2121814.368876324</v>
      </c>
      <c r="L223" s="162">
        <f>'r-in'!Y177</f>
        <v>7.3243963349151047</v>
      </c>
      <c r="M223" s="81">
        <f>'r-in'!Z177</f>
        <v>2799.6683063266055</v>
      </c>
      <c r="N223" s="162">
        <f>'r-in'!AA177</f>
        <v>9.3422497023075302</v>
      </c>
      <c r="O223" s="81">
        <f>'r-in'!AB177</f>
        <v>450566.26608230075</v>
      </c>
      <c r="P223" s="162">
        <f>'r-in'!AC177</f>
        <v>7.6145806173316268</v>
      </c>
      <c r="Q223" s="81">
        <f>'r-in'!AD177</f>
        <v>2043234.2302953913</v>
      </c>
      <c r="R223" s="162">
        <f>'r-in'!AE177</f>
        <v>7.6003336058237911</v>
      </c>
      <c r="S223" s="157">
        <f>'r-in'!AF177</f>
        <v>4.5070747376082876</v>
      </c>
      <c r="T223" s="157">
        <f>'r-in'!AG177</f>
        <v>4.7603864033385714E-2</v>
      </c>
      <c r="U223" s="157">
        <f>'r-in'!AH177</f>
        <v>4.5362597747142619</v>
      </c>
      <c r="V223" s="157">
        <f>'r-in'!AI177</f>
        <v>7.0551416359929175E-2</v>
      </c>
      <c r="W223" s="158">
        <v>120</v>
      </c>
      <c r="X223" s="764">
        <f t="shared" si="107"/>
        <v>0.8814260895033359</v>
      </c>
      <c r="Y223" s="387">
        <f t="shared" si="109"/>
        <v>3.9983777141976753</v>
      </c>
      <c r="Z223" s="640">
        <f t="shared" si="110"/>
        <v>4.7603864033385714E-2</v>
      </c>
      <c r="AA223" s="473">
        <f t="shared" si="112"/>
        <v>-13.841974547373237</v>
      </c>
      <c r="AB223" s="478">
        <f t="shared" si="113"/>
        <v>0.46944932559078723</v>
      </c>
      <c r="AC223" s="108">
        <v>1</v>
      </c>
      <c r="AD223" s="159">
        <f t="shared" si="108"/>
        <v>7.1336235325154998E-2</v>
      </c>
      <c r="AE223" s="160">
        <v>285</v>
      </c>
      <c r="AF223" s="160">
        <v>14</v>
      </c>
      <c r="AG223" s="160">
        <v>2.1</v>
      </c>
      <c r="AH223" s="303">
        <f t="shared" si="111"/>
        <v>0.64181442961110591</v>
      </c>
      <c r="AI223" s="86">
        <f t="shared" si="114"/>
        <v>729.8129659424842</v>
      </c>
      <c r="AJ223" s="86"/>
      <c r="AK223" s="86"/>
      <c r="AL223" s="86"/>
      <c r="AM223" s="86"/>
      <c r="AN223" s="536"/>
      <c r="AP223" s="53"/>
      <c r="AQ223" s="108"/>
      <c r="AR223" s="110"/>
      <c r="AS223" s="724"/>
      <c r="AT223" s="750"/>
      <c r="AU223" s="750"/>
      <c r="AV223" s="751"/>
      <c r="AW223" s="108"/>
      <c r="AX223" s="724"/>
      <c r="AY223" s="53"/>
      <c r="AZ223" s="108"/>
      <c r="BA223" s="771"/>
      <c r="BB223" s="108"/>
      <c r="BC223" s="724"/>
      <c r="BD223" s="724"/>
      <c r="BE223" s="724"/>
      <c r="BF223" s="634"/>
      <c r="BG223" s="108"/>
      <c r="BH223" s="725"/>
      <c r="BI223" s="725"/>
      <c r="BJ223" s="725"/>
      <c r="BK223" s="725"/>
      <c r="BL223" s="725"/>
      <c r="BM223" s="725"/>
      <c r="BN223" s="475"/>
      <c r="BO223" s="475"/>
      <c r="BP223" s="475"/>
      <c r="BY223" s="14">
        <v>9.9860000000000007</v>
      </c>
    </row>
    <row r="224" spans="1:77" ht="15" customHeight="1" x14ac:dyDescent="0.2">
      <c r="A224" s="782" t="str">
        <f>'r-in'!A178</f>
        <v>121_U</v>
      </c>
      <c r="B224" s="707" t="s">
        <v>922</v>
      </c>
      <c r="C224" s="162">
        <f>'r-in'!P178</f>
        <v>2824.6099861425187</v>
      </c>
      <c r="D224" s="162">
        <f>'r-in'!Q178</f>
        <v>7.5802894897548612</v>
      </c>
      <c r="E224" s="81">
        <f>'r-in'!R178</f>
        <v>418187.78150064213</v>
      </c>
      <c r="F224" s="162">
        <f>'r-in'!S178</f>
        <v>3.2595468297258474</v>
      </c>
      <c r="G224" s="81">
        <f>'r-in'!T178</f>
        <v>2307.1683440268184</v>
      </c>
      <c r="H224" s="162">
        <f>'r-in'!U178</f>
        <v>21.986902609288858</v>
      </c>
      <c r="I224" s="81">
        <f>'r-in'!V178</f>
        <v>2587.9740868837916</v>
      </c>
      <c r="J224" s="162">
        <f>'r-in'!W178</f>
        <v>10.243368142402502</v>
      </c>
      <c r="K224" s="81">
        <f>'r-in'!X178</f>
        <v>1804762.5530547844</v>
      </c>
      <c r="L224" s="162">
        <f>'r-in'!Y178</f>
        <v>3.4106443194070373</v>
      </c>
      <c r="M224" s="81">
        <f>'r-in'!Z178</f>
        <v>3529.7052076508212</v>
      </c>
      <c r="N224" s="162">
        <f>'r-in'!AA178</f>
        <v>7.4598215994913009</v>
      </c>
      <c r="O224" s="81">
        <f>'r-in'!AB178</f>
        <v>380243.98450618226</v>
      </c>
      <c r="P224" s="162">
        <f>'r-in'!AC178</f>
        <v>3.5619736098826653</v>
      </c>
      <c r="Q224" s="81">
        <f>'r-in'!AD178</f>
        <v>1725474.9719794439</v>
      </c>
      <c r="R224" s="162">
        <f>'r-in'!AE178</f>
        <v>3.5674250612874525</v>
      </c>
      <c r="S224" s="157">
        <f>'r-in'!AF178</f>
        <v>4.5065501136355843</v>
      </c>
      <c r="T224" s="157">
        <f>'r-in'!AG178</f>
        <v>3.9779770585215847E-2</v>
      </c>
      <c r="U224" s="157">
        <f>'r-in'!AH178</f>
        <v>4.537397946377685</v>
      </c>
      <c r="V224" s="157">
        <f>'r-in'!AI178</f>
        <v>8.0571167235225311E-2</v>
      </c>
      <c r="W224" s="158">
        <v>121</v>
      </c>
      <c r="X224" s="764">
        <f t="shared" si="107"/>
        <v>0.88144974077406424</v>
      </c>
      <c r="Y224" s="387">
        <f t="shared" si="109"/>
        <v>3.9994882436233818</v>
      </c>
      <c r="Z224" s="640">
        <f t="shared" si="110"/>
        <v>3.9779770585215847E-2</v>
      </c>
      <c r="AA224" s="473">
        <f t="shared" si="112"/>
        <v>-13.568074084749803</v>
      </c>
      <c r="AB224" s="478">
        <f t="shared" si="113"/>
        <v>0.39240035710841425</v>
      </c>
      <c r="AC224" s="108">
        <v>1</v>
      </c>
      <c r="AD224" s="159">
        <f t="shared" si="108"/>
        <v>7.1336235325154998E-2</v>
      </c>
      <c r="AE224" s="160">
        <v>285</v>
      </c>
      <c r="AF224" s="160">
        <v>14</v>
      </c>
      <c r="AG224" s="160">
        <v>2.1</v>
      </c>
      <c r="AH224" s="303">
        <f t="shared" si="111"/>
        <v>0.54242150018107005</v>
      </c>
      <c r="AI224" s="86">
        <f t="shared" si="114"/>
        <v>488.8439318499988</v>
      </c>
      <c r="AJ224" s="86"/>
      <c r="AK224" s="86"/>
      <c r="AL224" s="775"/>
      <c r="AM224" s="775"/>
      <c r="AN224" s="536"/>
      <c r="AP224" s="53"/>
      <c r="AQ224" s="108"/>
      <c r="AR224" s="108"/>
      <c r="AS224" s="724"/>
      <c r="AT224" s="724"/>
      <c r="AU224" s="724"/>
      <c r="AV224" s="634"/>
      <c r="AW224" s="108"/>
      <c r="AX224" s="725"/>
      <c r="AY224" s="53"/>
      <c r="AZ224" s="108"/>
      <c r="BA224" s="771"/>
      <c r="BB224" s="108"/>
      <c r="BC224" s="724"/>
      <c r="BD224" s="724"/>
      <c r="BE224" s="724"/>
      <c r="BF224" s="634"/>
      <c r="BG224" s="108"/>
      <c r="BH224" s="725"/>
      <c r="BI224" s="725"/>
      <c r="BJ224" s="725"/>
      <c r="BK224" s="725"/>
      <c r="BL224" s="634"/>
      <c r="BM224" s="724"/>
      <c r="BN224" s="475"/>
      <c r="BO224" s="475"/>
      <c r="BP224" s="10"/>
      <c r="BY224" s="14">
        <v>9.9860000000000007</v>
      </c>
    </row>
    <row r="225" spans="1:77" ht="15" customHeight="1" x14ac:dyDescent="0.2">
      <c r="A225" s="782" t="str">
        <f>'r-in'!A179</f>
        <v>122_U</v>
      </c>
      <c r="B225" s="707" t="s">
        <v>922</v>
      </c>
      <c r="C225" s="162">
        <f>'r-in'!P179</f>
        <v>3044.7413573883232</v>
      </c>
      <c r="D225" s="162">
        <f>'r-in'!Q179</f>
        <v>7.0578921440536115</v>
      </c>
      <c r="E225" s="81">
        <f>'r-in'!R179</f>
        <v>550648.6076463291</v>
      </c>
      <c r="F225" s="162">
        <f>'r-in'!S179</f>
        <v>5.8999100991117022</v>
      </c>
      <c r="G225" s="81">
        <f>'r-in'!T179</f>
        <v>2828.2239710854251</v>
      </c>
      <c r="H225" s="162">
        <f>'r-in'!U179</f>
        <v>22.085051383179472</v>
      </c>
      <c r="I225" s="81">
        <f>'r-in'!V179</f>
        <v>2945.7238407395971</v>
      </c>
      <c r="J225" s="162">
        <f>'r-in'!W179</f>
        <v>10.517561964992749</v>
      </c>
      <c r="K225" s="81">
        <f>'r-in'!X179</f>
        <v>2402998.1536814407</v>
      </c>
      <c r="L225" s="162">
        <f>'r-in'!Y179</f>
        <v>6.1345751971722491</v>
      </c>
      <c r="M225" s="81">
        <f>'r-in'!Z179</f>
        <v>3226.2322764103778</v>
      </c>
      <c r="N225" s="162">
        <f>'r-in'!AA179</f>
        <v>7.9310216704395016</v>
      </c>
      <c r="O225" s="81">
        <f>'r-in'!AB179</f>
        <v>512135.49849420827</v>
      </c>
      <c r="P225" s="162">
        <f>'r-in'!AC179</f>
        <v>6.3338842509197653</v>
      </c>
      <c r="Q225" s="81">
        <f>'r-in'!AD179</f>
        <v>2323779.9223483289</v>
      </c>
      <c r="R225" s="162">
        <f>'r-in'!AE179</f>
        <v>6.3425602835806876</v>
      </c>
      <c r="S225" s="157">
        <f>'r-in'!AF179</f>
        <v>4.5127756771806151</v>
      </c>
      <c r="T225" s="157">
        <f>'r-in'!AG179</f>
        <v>3.9016807408444973E-2</v>
      </c>
      <c r="U225" s="157">
        <f>'r-in'!AH179</f>
        <v>4.5360629615613197</v>
      </c>
      <c r="V225" s="157">
        <f>'r-in'!AI179</f>
        <v>8.6636002914903712E-2</v>
      </c>
      <c r="W225" s="158">
        <v>122</v>
      </c>
      <c r="X225" s="764">
        <f t="shared" si="107"/>
        <v>0.88147335357704915</v>
      </c>
      <c r="Y225" s="387">
        <f t="shared" si="109"/>
        <v>3.9984186307640979</v>
      </c>
      <c r="Z225" s="640">
        <f t="shared" si="110"/>
        <v>3.9016807408444973E-2</v>
      </c>
      <c r="AA225" s="473">
        <f t="shared" si="112"/>
        <v>-13.83188290440307</v>
      </c>
      <c r="AB225" s="478">
        <f t="shared" si="113"/>
        <v>0.38477131497061023</v>
      </c>
      <c r="AC225" s="108">
        <v>1</v>
      </c>
      <c r="AD225" s="159">
        <f t="shared" si="108"/>
        <v>7.1336235325154998E-2</v>
      </c>
      <c r="AE225" s="160">
        <v>285</v>
      </c>
      <c r="AF225" s="160">
        <v>14</v>
      </c>
      <c r="AG225" s="160">
        <v>2.1</v>
      </c>
      <c r="AH225" s="303">
        <f t="shared" si="111"/>
        <v>0.73106499419911197</v>
      </c>
      <c r="AI225" s="86">
        <f t="shared" si="114"/>
        <v>720.27669530783135</v>
      </c>
      <c r="AJ225" s="86"/>
      <c r="AK225" s="86"/>
      <c r="AL225" s="86"/>
      <c r="AM225" s="86"/>
      <c r="AN225" s="536"/>
      <c r="AP225" s="53"/>
      <c r="AQ225" s="108"/>
      <c r="AR225" s="110"/>
      <c r="AS225" s="724"/>
      <c r="AT225" s="750"/>
      <c r="AU225" s="750"/>
      <c r="AV225" s="751"/>
      <c r="AW225" s="108"/>
      <c r="AX225" s="724"/>
      <c r="AY225" s="53"/>
      <c r="AZ225" s="108"/>
      <c r="BA225" s="771"/>
      <c r="BB225" s="108"/>
      <c r="BC225" s="724"/>
      <c r="BD225" s="724"/>
      <c r="BE225" s="724"/>
      <c r="BF225" s="634"/>
      <c r="BG225" s="108"/>
      <c r="BH225" s="725"/>
      <c r="BI225" s="725"/>
      <c r="BJ225" s="725"/>
      <c r="BK225" s="725"/>
      <c r="BL225" s="725"/>
      <c r="BM225" s="725"/>
      <c r="BN225" s="475"/>
      <c r="BO225" s="475"/>
      <c r="BP225" s="475"/>
      <c r="BY225" s="14">
        <v>9.9860000000000007</v>
      </c>
    </row>
    <row r="226" spans="1:77" ht="15" customHeight="1" x14ac:dyDescent="0.2">
      <c r="A226" s="782" t="str">
        <f>'r-in'!A180</f>
        <v>123_U</v>
      </c>
      <c r="B226" s="707" t="s">
        <v>922</v>
      </c>
      <c r="C226" s="162">
        <f>'r-in'!P180</f>
        <v>2215.5919469596415</v>
      </c>
      <c r="D226" s="162">
        <f>'r-in'!Q180</f>
        <v>10.887279071213504</v>
      </c>
      <c r="E226" s="81">
        <f>'r-in'!R180</f>
        <v>674404.47556405771</v>
      </c>
      <c r="F226" s="162">
        <f>'r-in'!S180</f>
        <v>6.9220653736013258</v>
      </c>
      <c r="G226" s="81">
        <f>'r-in'!T180</f>
        <v>699.71660158118982</v>
      </c>
      <c r="H226" s="162">
        <f>'r-in'!U180</f>
        <v>80.745626293954331</v>
      </c>
      <c r="I226" s="81">
        <f>'r-in'!V180</f>
        <v>1522.353335449601</v>
      </c>
      <c r="J226" s="162">
        <f>'r-in'!W180</f>
        <v>17.94701280827358</v>
      </c>
      <c r="K226" s="81">
        <f>'r-in'!X180</f>
        <v>2969510.695461649</v>
      </c>
      <c r="L226" s="162">
        <f>'r-in'!Y180</f>
        <v>7.137455413922277</v>
      </c>
      <c r="M226" s="81">
        <f>'r-in'!Z180</f>
        <v>2432.6384853873551</v>
      </c>
      <c r="N226" s="162">
        <f>'r-in'!AA180</f>
        <v>12.598056138188966</v>
      </c>
      <c r="O226" s="81">
        <f>'r-in'!AB180</f>
        <v>637184.70355269604</v>
      </c>
      <c r="P226" s="162">
        <f>'r-in'!AC180</f>
        <v>7.3263278723989149</v>
      </c>
      <c r="Q226" s="81">
        <f>'r-in'!AD180</f>
        <v>2891022.2829570449</v>
      </c>
      <c r="R226" s="162">
        <f>'r-in'!AE180</f>
        <v>7.3303451876482857</v>
      </c>
      <c r="S226" s="157">
        <f>'r-in'!AF180</f>
        <v>4.5255845371583083</v>
      </c>
      <c r="T226" s="157">
        <f>'r-in'!AG180</f>
        <v>4.0005991866926008E-2</v>
      </c>
      <c r="U226" s="157">
        <f>'r-in'!AH180</f>
        <v>4.535623425276337</v>
      </c>
      <c r="V226" s="157">
        <f>'r-in'!AI180</f>
        <v>5.4686921059919527E-2</v>
      </c>
      <c r="W226" s="158">
        <v>123</v>
      </c>
      <c r="X226" s="764">
        <f t="shared" si="107"/>
        <v>0.88149692180732953</v>
      </c>
      <c r="Y226" s="387">
        <f t="shared" si="109"/>
        <v>3.9981380878583073</v>
      </c>
      <c r="Z226" s="640">
        <f t="shared" si="110"/>
        <v>4.0005991866926008E-2</v>
      </c>
      <c r="AA226" s="473">
        <f t="shared" si="112"/>
        <v>-13.901075876604496</v>
      </c>
      <c r="AB226" s="478">
        <f t="shared" si="113"/>
        <v>0.39449865538465723</v>
      </c>
      <c r="AC226" s="108">
        <v>1</v>
      </c>
      <c r="AD226" s="159">
        <f t="shared" si="108"/>
        <v>7.1336235325154998E-2</v>
      </c>
      <c r="AE226" s="160">
        <v>285</v>
      </c>
      <c r="AF226" s="160">
        <v>14</v>
      </c>
      <c r="AG226" s="160">
        <v>2.1</v>
      </c>
      <c r="AH226" s="303">
        <f t="shared" si="111"/>
        <v>0.91020897681345736</v>
      </c>
      <c r="AI226" s="86">
        <f t="shared" si="114"/>
        <v>1188.4307102445189</v>
      </c>
      <c r="AJ226" s="86"/>
      <c r="AK226" s="86"/>
      <c r="AL226" s="775"/>
      <c r="AM226" s="775"/>
      <c r="AN226" s="536"/>
      <c r="AP226" s="53"/>
      <c r="AQ226" s="108"/>
      <c r="AR226" s="108"/>
      <c r="AS226" s="724"/>
      <c r="AT226" s="724"/>
      <c r="AU226" s="724"/>
      <c r="AV226" s="634"/>
      <c r="AW226" s="108"/>
      <c r="AX226" s="725"/>
      <c r="AY226" s="53"/>
      <c r="AZ226" s="108"/>
      <c r="BA226" s="771"/>
      <c r="BB226" s="108"/>
      <c r="BC226" s="724"/>
      <c r="BD226" s="724"/>
      <c r="BE226" s="724"/>
      <c r="BF226" s="634"/>
      <c r="BG226" s="108"/>
      <c r="BH226" s="725"/>
      <c r="BI226" s="725"/>
      <c r="BJ226" s="725"/>
      <c r="BK226" s="725"/>
      <c r="BL226" s="634"/>
      <c r="BM226" s="724"/>
      <c r="BN226" s="475"/>
      <c r="BO226" s="475"/>
      <c r="BP226" s="10"/>
      <c r="BY226" s="14">
        <v>9.9860000000000007</v>
      </c>
    </row>
    <row r="227" spans="1:77" ht="15" customHeight="1" x14ac:dyDescent="0.2">
      <c r="A227" s="301" t="str">
        <f>'r-in'!A181</f>
        <v>124_U</v>
      </c>
      <c r="B227" s="707" t="s">
        <v>922</v>
      </c>
      <c r="C227" s="162">
        <f>'r-in'!P181</f>
        <v>3135.7648403031162</v>
      </c>
      <c r="D227" s="162">
        <f>'r-in'!Q181</f>
        <v>7.4516135906349446</v>
      </c>
      <c r="E227" s="81">
        <f>'r-in'!R181</f>
        <v>722885.53089473955</v>
      </c>
      <c r="F227" s="162">
        <f>'r-in'!S181</f>
        <v>4.803442207213644</v>
      </c>
      <c r="G227" s="81">
        <f>'r-in'!T181</f>
        <v>1824.1764247611611</v>
      </c>
      <c r="H227" s="162">
        <f>'r-in'!U181</f>
        <v>33.147636893244048</v>
      </c>
      <c r="I227" s="81">
        <f>'r-in'!V181</f>
        <v>2535.9505252045628</v>
      </c>
      <c r="J227" s="162">
        <f>'r-in'!W181</f>
        <v>11.897182700399259</v>
      </c>
      <c r="K227" s="81">
        <f>'r-in'!X181</f>
        <v>3183011.2692737686</v>
      </c>
      <c r="L227" s="162">
        <f>'r-in'!Y181</f>
        <v>4.9397622106642052</v>
      </c>
      <c r="M227" s="81">
        <f>'r-in'!Z181</f>
        <v>2810.5015347837289</v>
      </c>
      <c r="N227" s="162">
        <f>'r-in'!AA181</f>
        <v>8.6534865549399012</v>
      </c>
      <c r="O227" s="81">
        <f>'r-in'!AB181</f>
        <v>684734.71568188549</v>
      </c>
      <c r="P227" s="162">
        <f>'r-in'!AC181</f>
        <v>5.0530853391600576</v>
      </c>
      <c r="Q227" s="81">
        <f>'r-in'!AD181</f>
        <v>3103975.2949839747</v>
      </c>
      <c r="R227" s="162">
        <f>'r-in'!AE181</f>
        <v>5.0626018946308573</v>
      </c>
      <c r="S227" s="157">
        <f>'r-in'!AF181</f>
        <v>4.5150388348570498</v>
      </c>
      <c r="T227" s="157">
        <f>'r-in'!AG181</f>
        <v>2.7549204114349898E-2</v>
      </c>
      <c r="U227" s="157">
        <f>'r-in'!AH181</f>
        <v>4.5322852097137822</v>
      </c>
      <c r="V227" s="157">
        <f>'r-in'!AI181</f>
        <v>5.1254063378416911E-2</v>
      </c>
      <c r="W227" s="158">
        <v>124</v>
      </c>
      <c r="X227" s="764">
        <f t="shared" si="107"/>
        <v>0.88152043947615999</v>
      </c>
      <c r="Y227" s="387">
        <f t="shared" si="109"/>
        <v>3.9953020498981933</v>
      </c>
      <c r="Z227" s="640">
        <f t="shared" si="110"/>
        <v>2.7549204114349898E-2</v>
      </c>
      <c r="AA227" s="473">
        <f t="shared" si="112"/>
        <v>-14.600554964066315</v>
      </c>
      <c r="AB227" s="478">
        <f t="shared" si="113"/>
        <v>0.27146970445457441</v>
      </c>
      <c r="AC227" s="108">
        <v>1</v>
      </c>
      <c r="AD227" s="159">
        <f t="shared" si="108"/>
        <v>7.1336235325154998E-2</v>
      </c>
      <c r="AE227" s="160">
        <v>285</v>
      </c>
      <c r="AF227" s="160">
        <v>14</v>
      </c>
      <c r="AG227" s="160">
        <v>2.1</v>
      </c>
      <c r="AH227" s="303">
        <f t="shared" si="111"/>
        <v>0.97798591019083192</v>
      </c>
      <c r="AI227" s="86">
        <f t="shared" si="114"/>
        <v>1104.4204233899588</v>
      </c>
      <c r="AJ227" s="86"/>
      <c r="AK227" s="86"/>
      <c r="AL227" s="86"/>
      <c r="AM227" s="86"/>
      <c r="AN227" s="536"/>
      <c r="AP227" s="53"/>
      <c r="AQ227" s="108"/>
      <c r="AR227" s="110"/>
      <c r="AS227" s="724"/>
      <c r="AT227" s="750"/>
      <c r="AU227" s="750"/>
      <c r="AV227" s="751"/>
      <c r="AW227" s="108"/>
      <c r="AX227" s="724"/>
      <c r="AY227" s="53"/>
      <c r="AZ227" s="108"/>
      <c r="BA227" s="771"/>
      <c r="BB227" s="108"/>
      <c r="BC227" s="724"/>
      <c r="BD227" s="724"/>
      <c r="BE227" s="724"/>
      <c r="BF227" s="634"/>
      <c r="BG227" s="108"/>
      <c r="BH227" s="725"/>
      <c r="BI227" s="725"/>
      <c r="BJ227" s="725"/>
      <c r="BK227" s="725"/>
      <c r="BL227" s="725"/>
      <c r="BM227" s="725"/>
      <c r="BN227" s="475"/>
      <c r="BO227" s="475"/>
      <c r="BP227" s="475"/>
      <c r="BY227" s="14">
        <v>9.9860000000000007</v>
      </c>
    </row>
    <row r="228" spans="1:77" ht="15" customHeight="1" x14ac:dyDescent="0.2">
      <c r="A228" s="782" t="str">
        <f>'r-in'!A182</f>
        <v>125_U</v>
      </c>
      <c r="B228" s="707" t="s">
        <v>922</v>
      </c>
      <c r="C228" s="162">
        <f>'r-in'!P182</f>
        <v>2620.0871188128222</v>
      </c>
      <c r="D228" s="162">
        <f>'r-in'!Q182</f>
        <v>8.1940898011125629</v>
      </c>
      <c r="E228" s="81">
        <f>'r-in'!R182</f>
        <v>422424.80525555531</v>
      </c>
      <c r="F228" s="162">
        <f>'r-in'!S182</f>
        <v>2.9572120564510311</v>
      </c>
      <c r="G228" s="81">
        <f>'r-in'!T182</f>
        <v>2792.0782030202299</v>
      </c>
      <c r="H228" s="162">
        <f>'r-in'!U182</f>
        <v>21.125175925534077</v>
      </c>
      <c r="I228" s="81">
        <f>'r-in'!V182</f>
        <v>2698.7419110894784</v>
      </c>
      <c r="J228" s="162">
        <f>'r-in'!W182</f>
        <v>10.741220389755732</v>
      </c>
      <c r="K228" s="81">
        <f>'r-in'!X182</f>
        <v>1823109.5338612164</v>
      </c>
      <c r="L228" s="162">
        <f>'r-in'!Y182</f>
        <v>3.1012905081102566</v>
      </c>
      <c r="M228" s="81">
        <f>'r-in'!Z182</f>
        <v>2388.4039254062759</v>
      </c>
      <c r="N228" s="162">
        <f>'r-in'!AA182</f>
        <v>10.677634255035514</v>
      </c>
      <c r="O228" s="81">
        <f>'r-in'!AB182</f>
        <v>384176.35078514804</v>
      </c>
      <c r="P228" s="162">
        <f>'r-in'!AC182</f>
        <v>3.2414169731160447</v>
      </c>
      <c r="Q228" s="81">
        <f>'r-in'!AD182</f>
        <v>1745043.3629162547</v>
      </c>
      <c r="R228" s="162">
        <f>'r-in'!AE182</f>
        <v>3.2338932738264097</v>
      </c>
      <c r="S228" s="157">
        <f>'r-in'!AF182</f>
        <v>4.5080810621501515</v>
      </c>
      <c r="T228" s="157">
        <f>'r-in'!AG182</f>
        <v>5.9419157537321132E-2</v>
      </c>
      <c r="U228" s="157">
        <f>'r-in'!AH182</f>
        <v>4.5433268703731091</v>
      </c>
      <c r="V228" s="157">
        <f>'r-in'!AI182</f>
        <v>9.5204507802521002E-2</v>
      </c>
      <c r="W228" s="158">
        <v>125</v>
      </c>
      <c r="X228" s="764">
        <f t="shared" si="107"/>
        <v>0.88154390071105171</v>
      </c>
      <c r="Y228" s="387">
        <f t="shared" si="109"/>
        <v>4.0051420915140454</v>
      </c>
      <c r="Z228" s="640">
        <f t="shared" si="110"/>
        <v>5.9419157537321132E-2</v>
      </c>
      <c r="AA228" s="473">
        <f t="shared" si="112"/>
        <v>-12.173611662585904</v>
      </c>
      <c r="AB228" s="478">
        <f t="shared" si="113"/>
        <v>0.58695811788145313</v>
      </c>
      <c r="AC228" s="108">
        <v>1</v>
      </c>
      <c r="AD228" s="159">
        <f t="shared" si="108"/>
        <v>7.1336235325154998E-2</v>
      </c>
      <c r="AE228" s="160">
        <v>285</v>
      </c>
      <c r="AF228" s="160">
        <v>14</v>
      </c>
      <c r="AG228" s="160">
        <v>2.1</v>
      </c>
      <c r="AH228" s="303">
        <f t="shared" si="111"/>
        <v>0.55022622266704846</v>
      </c>
      <c r="AI228" s="86">
        <f t="shared" si="114"/>
        <v>730.63159223346895</v>
      </c>
      <c r="AJ228" s="86"/>
      <c r="AK228" s="86"/>
      <c r="AL228" s="775"/>
      <c r="AM228" s="775"/>
      <c r="AN228" s="536"/>
      <c r="AP228" s="53"/>
      <c r="AQ228" s="108"/>
      <c r="AR228" s="108"/>
      <c r="AS228" s="724"/>
      <c r="AT228" s="724"/>
      <c r="AU228" s="724"/>
      <c r="AV228" s="634"/>
      <c r="AW228" s="108"/>
      <c r="AX228" s="725"/>
      <c r="AY228" s="53"/>
      <c r="AZ228" s="108"/>
      <c r="BA228" s="771"/>
      <c r="BB228" s="108"/>
      <c r="BC228" s="724"/>
      <c r="BD228" s="724"/>
      <c r="BE228" s="724"/>
      <c r="BF228" s="634"/>
      <c r="BG228" s="108"/>
      <c r="BH228" s="725"/>
      <c r="BI228" s="725"/>
      <c r="BJ228" s="725"/>
      <c r="BK228" s="725"/>
      <c r="BL228" s="634"/>
      <c r="BM228" s="724"/>
      <c r="BN228" s="475"/>
      <c r="BO228" s="475"/>
      <c r="BP228" s="10"/>
      <c r="BY228" s="14">
        <v>9.9860000000000007</v>
      </c>
    </row>
    <row r="229" spans="1:77" ht="15" customHeight="1" x14ac:dyDescent="0.2">
      <c r="A229" s="782" t="str">
        <f>'r-in'!A183</f>
        <v>126_U</v>
      </c>
      <c r="B229" s="707" t="s">
        <v>922</v>
      </c>
      <c r="C229" s="162">
        <f>'r-in'!P183</f>
        <v>2823.2048771647351</v>
      </c>
      <c r="D229" s="162">
        <f>'r-in'!Q183</f>
        <v>6.6997403800934556</v>
      </c>
      <c r="E229" s="81">
        <f>'r-in'!R183</f>
        <v>544524.2019250415</v>
      </c>
      <c r="F229" s="162">
        <f>'r-in'!S183</f>
        <v>5.5618732026821149</v>
      </c>
      <c r="G229" s="81">
        <f>'r-in'!T183</f>
        <v>2701.9431770443202</v>
      </c>
      <c r="H229" s="162">
        <f>'r-in'!U183</f>
        <v>21.957200953706792</v>
      </c>
      <c r="I229" s="81">
        <f>'r-in'!V183</f>
        <v>2767.7495965724925</v>
      </c>
      <c r="J229" s="162">
        <f>'r-in'!W183</f>
        <v>10.160403064059944</v>
      </c>
      <c r="K229" s="81">
        <f>'r-in'!X183</f>
        <v>2372804.841690707</v>
      </c>
      <c r="L229" s="162">
        <f>'r-in'!Y183</f>
        <v>5.7692854193034195</v>
      </c>
      <c r="M229" s="81">
        <f>'r-in'!Z183</f>
        <v>2786.4138844012691</v>
      </c>
      <c r="N229" s="162">
        <f>'r-in'!AA183</f>
        <v>8.6009264249710551</v>
      </c>
      <c r="O229" s="81">
        <f>'r-in'!AB183</f>
        <v>506133.5854530842</v>
      </c>
      <c r="P229" s="162">
        <f>'r-in'!AC183</f>
        <v>5.9711165433357483</v>
      </c>
      <c r="Q229" s="81">
        <f>'r-in'!AD183</f>
        <v>2293946.7592508025</v>
      </c>
      <c r="R229" s="162">
        <f>'r-in'!AE183</f>
        <v>5.966042793715741</v>
      </c>
      <c r="S229" s="157">
        <f>'r-in'!AF183</f>
        <v>4.505254478089185</v>
      </c>
      <c r="T229" s="157">
        <f>'r-in'!AG183</f>
        <v>5.3655667461055205E-2</v>
      </c>
      <c r="U229" s="157">
        <f>'r-in'!AH183</f>
        <v>4.5329476867854757</v>
      </c>
      <c r="V229" s="157">
        <f>'r-in'!AI183</f>
        <v>6.3012765288871925E-2</v>
      </c>
      <c r="W229" s="158">
        <v>126</v>
      </c>
      <c r="X229" s="764">
        <f t="shared" si="107"/>
        <v>0.88156729975580894</v>
      </c>
      <c r="Y229" s="387">
        <f t="shared" si="109"/>
        <v>3.9960984521738121</v>
      </c>
      <c r="Z229" s="640">
        <f t="shared" si="110"/>
        <v>5.3655667461055205E-2</v>
      </c>
      <c r="AA229" s="473">
        <f t="shared" si="112"/>
        <v>-14.404130676085259</v>
      </c>
      <c r="AB229" s="478">
        <f t="shared" si="113"/>
        <v>0.5288280421543714</v>
      </c>
      <c r="AC229" s="108">
        <v>1</v>
      </c>
      <c r="AD229" s="159">
        <f t="shared" si="108"/>
        <v>7.1336235325154998E-2</v>
      </c>
      <c r="AE229" s="160">
        <v>285</v>
      </c>
      <c r="AF229" s="160">
        <v>14</v>
      </c>
      <c r="AG229" s="160">
        <v>2.1</v>
      </c>
      <c r="AH229" s="303">
        <f t="shared" si="111"/>
        <v>0.72382775683709366</v>
      </c>
      <c r="AI229" s="86">
        <f t="shared" si="114"/>
        <v>823.26131523124911</v>
      </c>
      <c r="AJ229" s="86"/>
      <c r="AK229" s="86"/>
      <c r="AL229" s="86"/>
      <c r="AM229" s="86"/>
      <c r="AN229" s="536"/>
      <c r="AP229" s="53"/>
      <c r="AQ229" s="108"/>
      <c r="AR229" s="110"/>
      <c r="AS229" s="724"/>
      <c r="AT229" s="750"/>
      <c r="AU229" s="750"/>
      <c r="AV229" s="751"/>
      <c r="AW229" s="108"/>
      <c r="AX229" s="724"/>
      <c r="AY229" s="53"/>
      <c r="AZ229" s="108"/>
      <c r="BA229" s="771"/>
      <c r="BB229" s="108"/>
      <c r="BC229" s="724"/>
      <c r="BD229" s="724"/>
      <c r="BE229" s="724"/>
      <c r="BF229" s="634"/>
      <c r="BG229" s="108"/>
      <c r="BH229" s="725"/>
      <c r="BI229" s="725"/>
      <c r="BJ229" s="725"/>
      <c r="BK229" s="725"/>
      <c r="BL229" s="725"/>
      <c r="BM229" s="725"/>
      <c r="BN229" s="475"/>
      <c r="BO229" s="475"/>
      <c r="BP229" s="475"/>
      <c r="BY229" s="14">
        <v>9.9860000000000007</v>
      </c>
    </row>
    <row r="230" spans="1:77" ht="15" customHeight="1" x14ac:dyDescent="0.2">
      <c r="A230" s="782" t="str">
        <f>'r-in'!A184</f>
        <v>127_U</v>
      </c>
      <c r="B230" s="707" t="s">
        <v>922</v>
      </c>
      <c r="C230" s="162">
        <f>'r-in'!P184</f>
        <v>2811.1722437764597</v>
      </c>
      <c r="D230" s="162">
        <f>'r-in'!Q184</f>
        <v>5.8665297626109085</v>
      </c>
      <c r="E230" s="81">
        <f>'r-in'!R184</f>
        <v>539901.96660883003</v>
      </c>
      <c r="F230" s="162">
        <f>'r-in'!S184</f>
        <v>2.0543998308285039</v>
      </c>
      <c r="G230" s="81">
        <f>'r-in'!T184</f>
        <v>2838.2633932218314</v>
      </c>
      <c r="H230" s="162">
        <f>'r-in'!U184</f>
        <v>18.751171473566021</v>
      </c>
      <c r="I230" s="81">
        <f>'r-in'!V184</f>
        <v>2823.5615414076792</v>
      </c>
      <c r="J230" s="162">
        <f>'r-in'!W184</f>
        <v>9.0765428167050644</v>
      </c>
      <c r="K230" s="81">
        <f>'r-in'!X184</f>
        <v>2355059.8451995561</v>
      </c>
      <c r="L230" s="162">
        <f>'r-in'!Y184</f>
        <v>2.1244625685544993</v>
      </c>
      <c r="M230" s="81">
        <f>'r-in'!Z184</f>
        <v>2438.032364162395</v>
      </c>
      <c r="N230" s="162">
        <f>'r-in'!AA184</f>
        <v>9.3324179016956279</v>
      </c>
      <c r="O230" s="81">
        <f>'r-in'!AB184</f>
        <v>501780.38474673673</v>
      </c>
      <c r="P230" s="162">
        <f>'r-in'!AC184</f>
        <v>2.2054307884562716</v>
      </c>
      <c r="Q230" s="81">
        <f>'r-in'!AD184</f>
        <v>2277036.2600657307</v>
      </c>
      <c r="R230" s="162">
        <f>'r-in'!AE184</f>
        <v>2.1949179779692187</v>
      </c>
      <c r="S230" s="157">
        <f>'r-in'!AF184</f>
        <v>4.5109398073235374</v>
      </c>
      <c r="T230" s="157">
        <f>'r-in'!AG184</f>
        <v>4.0846076172127578E-2</v>
      </c>
      <c r="U230" s="157">
        <f>'r-in'!AH184</f>
        <v>4.5384104833248449</v>
      </c>
      <c r="V230" s="157">
        <f>'r-in'!AI184</f>
        <v>6.1630821437550762E-2</v>
      </c>
      <c r="W230" s="158">
        <v>127</v>
      </c>
      <c r="X230" s="764">
        <f t="shared" si="107"/>
        <v>0.881590630970568</v>
      </c>
      <c r="Y230" s="387">
        <f t="shared" si="109"/>
        <v>4.0010201615977907</v>
      </c>
      <c r="Z230" s="640">
        <f t="shared" si="110"/>
        <v>4.0846076172127578E-2</v>
      </c>
      <c r="AA230" s="473">
        <f t="shared" si="112"/>
        <v>-13.190242545864873</v>
      </c>
      <c r="AB230" s="478">
        <f t="shared" si="113"/>
        <v>0.40307306520370645</v>
      </c>
      <c r="AC230" s="108">
        <v>1</v>
      </c>
      <c r="AD230" s="159">
        <f t="shared" si="108"/>
        <v>7.1336235325154998E-2</v>
      </c>
      <c r="AE230" s="160">
        <v>285</v>
      </c>
      <c r="AF230" s="160">
        <v>14</v>
      </c>
      <c r="AG230" s="160">
        <v>2.1</v>
      </c>
      <c r="AH230" s="303">
        <f t="shared" si="111"/>
        <v>0.71900990073648252</v>
      </c>
      <c r="AI230" s="86">
        <f t="shared" si="114"/>
        <v>933.96473875277047</v>
      </c>
      <c r="AJ230" s="86"/>
      <c r="AK230" s="86"/>
      <c r="AL230" s="775"/>
      <c r="AM230" s="775"/>
      <c r="AN230" s="536"/>
      <c r="AP230" s="53"/>
      <c r="AQ230" s="108"/>
      <c r="AR230" s="108"/>
      <c r="AS230" s="724"/>
      <c r="AT230" s="724"/>
      <c r="AU230" s="724"/>
      <c r="AV230" s="634"/>
      <c r="AW230" s="108"/>
      <c r="AX230" s="725"/>
      <c r="AY230" s="53"/>
      <c r="AZ230" s="108"/>
      <c r="BA230" s="771"/>
      <c r="BB230" s="108"/>
      <c r="BC230" s="724"/>
      <c r="BD230" s="724"/>
      <c r="BE230" s="724"/>
      <c r="BF230" s="634"/>
      <c r="BG230" s="108"/>
      <c r="BH230" s="725"/>
      <c r="BI230" s="725"/>
      <c r="BJ230" s="725"/>
      <c r="BK230" s="725"/>
      <c r="BL230" s="634"/>
      <c r="BM230" s="724"/>
      <c r="BN230" s="475"/>
      <c r="BO230" s="475"/>
      <c r="BP230" s="10"/>
      <c r="BY230" s="14">
        <v>9.9860000000000007</v>
      </c>
    </row>
    <row r="231" spans="1:77" ht="15" customHeight="1" x14ac:dyDescent="0.2">
      <c r="A231" s="782" t="str">
        <f>'r-in'!A185</f>
        <v>128_U</v>
      </c>
      <c r="B231" s="707" t="s">
        <v>922</v>
      </c>
      <c r="C231" s="162">
        <f>'r-in'!P185</f>
        <v>2968.8522323324619</v>
      </c>
      <c r="D231" s="162">
        <f>'r-in'!Q185</f>
        <v>7.21128432369221</v>
      </c>
      <c r="E231" s="81">
        <f>'r-in'!R185</f>
        <v>529241.48036074755</v>
      </c>
      <c r="F231" s="162">
        <f>'r-in'!S185</f>
        <v>6.7318983851125234</v>
      </c>
      <c r="G231" s="81">
        <f>'r-in'!T185</f>
        <v>2442.5186173991524</v>
      </c>
      <c r="H231" s="162">
        <f>'r-in'!U185</f>
        <v>21.042583427722683</v>
      </c>
      <c r="I231" s="81">
        <f>'r-in'!V185</f>
        <v>2728.1498648720722</v>
      </c>
      <c r="J231" s="162">
        <f>'r-in'!W185</f>
        <v>9.5084295925336075</v>
      </c>
      <c r="K231" s="81">
        <f>'r-in'!X185</f>
        <v>2309785.6706382092</v>
      </c>
      <c r="L231" s="162">
        <f>'r-in'!Y185</f>
        <v>7.0312981261999816</v>
      </c>
      <c r="M231" s="81">
        <f>'r-in'!Z185</f>
        <v>2943.9274770291449</v>
      </c>
      <c r="N231" s="162">
        <f>'r-in'!AA185</f>
        <v>10.010524329607041</v>
      </c>
      <c r="O231" s="81">
        <f>'r-in'!AB185</f>
        <v>490870.92894783342</v>
      </c>
      <c r="P231" s="162">
        <f>'r-in'!AC185</f>
        <v>7.2490540281103568</v>
      </c>
      <c r="Q231" s="81">
        <f>'r-in'!AD185</f>
        <v>2231487.5121160205</v>
      </c>
      <c r="R231" s="162">
        <f>'r-in'!AE185</f>
        <v>7.2725283592925143</v>
      </c>
      <c r="S231" s="157">
        <f>'r-in'!AF185</f>
        <v>4.5108833608234828</v>
      </c>
      <c r="T231" s="157">
        <f>'r-in'!AG185</f>
        <v>6.1529840787821123E-2</v>
      </c>
      <c r="U231" s="157">
        <f>'r-in'!AH185</f>
        <v>4.5446821690039059</v>
      </c>
      <c r="V231" s="157">
        <f>'r-in'!AI185</f>
        <v>7.6924060844977118E-2</v>
      </c>
      <c r="W231" s="158">
        <v>128</v>
      </c>
      <c r="X231" s="764">
        <f t="shared" si="107"/>
        <v>0.88161388883183744</v>
      </c>
      <c r="Y231" s="387">
        <f t="shared" si="109"/>
        <v>4.0066549205202433</v>
      </c>
      <c r="Z231" s="640">
        <f t="shared" si="110"/>
        <v>6.1529840787821123E-2</v>
      </c>
      <c r="AA231" s="473">
        <f t="shared" si="112"/>
        <v>-11.800488217969306</v>
      </c>
      <c r="AB231" s="478">
        <f t="shared" si="113"/>
        <v>0.60803758626548721</v>
      </c>
      <c r="AC231" s="108">
        <v>1</v>
      </c>
      <c r="AD231" s="159">
        <f t="shared" si="108"/>
        <v>7.1336235325154998E-2</v>
      </c>
      <c r="AE231" s="160">
        <v>285</v>
      </c>
      <c r="AF231" s="160">
        <v>14</v>
      </c>
      <c r="AG231" s="160">
        <v>2.1</v>
      </c>
      <c r="AH231" s="303">
        <f t="shared" si="111"/>
        <v>0.70512914343102917</v>
      </c>
      <c r="AI231" s="86">
        <f t="shared" si="114"/>
        <v>757.99676776274362</v>
      </c>
      <c r="AJ231" s="86"/>
      <c r="AK231" s="86"/>
      <c r="AL231" s="86"/>
      <c r="AM231" s="86"/>
      <c r="AN231" s="536"/>
      <c r="AP231" s="53"/>
      <c r="AQ231" s="108"/>
      <c r="AR231" s="110"/>
      <c r="AS231" s="724"/>
      <c r="AT231" s="750"/>
      <c r="AU231" s="750"/>
      <c r="AV231" s="751"/>
      <c r="AW231" s="108"/>
      <c r="AX231" s="724"/>
      <c r="AY231" s="53"/>
      <c r="AZ231" s="108"/>
      <c r="BA231" s="771"/>
      <c r="BB231" s="108"/>
      <c r="BC231" s="724"/>
      <c r="BD231" s="724"/>
      <c r="BE231" s="724"/>
      <c r="BF231" s="634"/>
      <c r="BG231" s="108"/>
      <c r="BH231" s="725"/>
      <c r="BI231" s="725"/>
      <c r="BJ231" s="725"/>
      <c r="BK231" s="725"/>
      <c r="BL231" s="725"/>
      <c r="BM231" s="725"/>
      <c r="BN231" s="475"/>
      <c r="BO231" s="475"/>
      <c r="BP231" s="475"/>
      <c r="BY231" s="14">
        <v>9.9860000000000007</v>
      </c>
    </row>
    <row r="232" spans="1:77" ht="15" customHeight="1" x14ac:dyDescent="0.2">
      <c r="A232" s="782" t="str">
        <f>'r-in'!A186</f>
        <v>129_U</v>
      </c>
      <c r="B232" s="707" t="s">
        <v>922</v>
      </c>
      <c r="C232" s="162">
        <f>'r-in'!P186</f>
        <v>2963.9852152432886</v>
      </c>
      <c r="D232" s="162">
        <f>'r-in'!Q186</f>
        <v>6.1537801102917182</v>
      </c>
      <c r="E232" s="81">
        <f>'r-in'!R186</f>
        <v>4848388.5344091142</v>
      </c>
      <c r="F232" s="162">
        <f>'r-in'!S186</f>
        <v>3.0825468124180668</v>
      </c>
      <c r="G232" s="81">
        <f>'r-in'!T186</f>
        <v>2282.3212958703316</v>
      </c>
      <c r="H232" s="162">
        <f>'r-in'!U186</f>
        <v>29.339260988569841</v>
      </c>
      <c r="I232" s="81">
        <f>'r-in'!V186</f>
        <v>2652.2473468075277</v>
      </c>
      <c r="J232" s="162">
        <f>'r-in'!W186</f>
        <v>11.940238187990559</v>
      </c>
      <c r="K232" s="81">
        <f>'r-in'!X186</f>
        <v>21942547.387942642</v>
      </c>
      <c r="L232" s="162">
        <f>'r-in'!Y186</f>
        <v>3.0973624536868885</v>
      </c>
      <c r="M232" s="81">
        <f>'r-in'!Z186</f>
        <v>3229.8882255184335</v>
      </c>
      <c r="N232" s="162">
        <f>'r-in'!AA186</f>
        <v>8.3705496053795301</v>
      </c>
      <c r="O232" s="81">
        <f>'r-in'!AB186</f>
        <v>4810381.374108565</v>
      </c>
      <c r="P232" s="162">
        <f>'r-in'!AC186</f>
        <v>3.107485479322631</v>
      </c>
      <c r="Q232" s="81">
        <f>'r-in'!AD186</f>
        <v>21864389.156116121</v>
      </c>
      <c r="R232" s="162">
        <f>'r-in'!AE186</f>
        <v>3.1084993681285633</v>
      </c>
      <c r="S232" s="157">
        <f>'r-in'!AF186</f>
        <v>4.5430716888646989</v>
      </c>
      <c r="T232" s="157">
        <f>'r-in'!AG186</f>
        <v>1.1031487737628935E-2</v>
      </c>
      <c r="U232" s="157">
        <f>'r-in'!AH186</f>
        <v>4.5451931387848434</v>
      </c>
      <c r="V232" s="157">
        <f>'r-in'!AI186</f>
        <v>1.1256397810363779E-2</v>
      </c>
      <c r="W232" s="158">
        <v>129</v>
      </c>
      <c r="X232" s="764">
        <f t="shared" si="107"/>
        <v>0.88163706793253749</v>
      </c>
      <c r="Y232" s="387">
        <f t="shared" si="109"/>
        <v>4.0072107520653564</v>
      </c>
      <c r="Z232" s="640">
        <f t="shared" si="110"/>
        <v>1.1031487737628935E-2</v>
      </c>
      <c r="AA232" s="473">
        <f t="shared" si="112"/>
        <v>-11.663398183411889</v>
      </c>
      <c r="AB232" s="478">
        <f t="shared" si="113"/>
        <v>0.10902823103597825</v>
      </c>
      <c r="AC232" s="108">
        <v>1</v>
      </c>
      <c r="AD232" s="159">
        <f t="shared" si="108"/>
        <v>7.1336235325154998E-2</v>
      </c>
      <c r="AE232" s="160">
        <v>285</v>
      </c>
      <c r="AF232" s="160">
        <v>14</v>
      </c>
      <c r="AG232" s="160">
        <v>2.1</v>
      </c>
      <c r="AH232" s="303">
        <f t="shared" si="111"/>
        <v>6.913805457769838</v>
      </c>
      <c r="AI232" s="86">
        <f t="shared" si="114"/>
        <v>6769.3949850560666</v>
      </c>
      <c r="AJ232" s="86"/>
      <c r="AK232" s="86"/>
      <c r="AL232" s="775"/>
      <c r="AM232" s="775"/>
      <c r="AN232" s="536"/>
      <c r="AP232" s="53"/>
      <c r="AQ232" s="108"/>
      <c r="AR232" s="108"/>
      <c r="AS232" s="724"/>
      <c r="AT232" s="724"/>
      <c r="AU232" s="724"/>
      <c r="AV232" s="634"/>
      <c r="AW232" s="108"/>
      <c r="AX232" s="725"/>
      <c r="AY232" s="53"/>
      <c r="AZ232" s="108"/>
      <c r="BA232" s="771"/>
      <c r="BB232" s="108"/>
      <c r="BC232" s="724"/>
      <c r="BD232" s="724"/>
      <c r="BE232" s="724"/>
      <c r="BF232" s="634"/>
      <c r="BG232" s="108"/>
      <c r="BH232" s="725"/>
      <c r="BI232" s="725"/>
      <c r="BJ232" s="725"/>
      <c r="BK232" s="725"/>
      <c r="BL232" s="634"/>
      <c r="BM232" s="724"/>
      <c r="BN232" s="475"/>
      <c r="BO232" s="475"/>
      <c r="BP232" s="10"/>
      <c r="BY232" s="14">
        <v>9.9860000000000007</v>
      </c>
    </row>
    <row r="233" spans="1:77" s="437" customFormat="1" ht="15" customHeight="1" x14ac:dyDescent="0.15">
      <c r="A233" s="783" t="str">
        <f>'r-in'!A187</f>
        <v>130_U</v>
      </c>
      <c r="B233" s="258" t="s">
        <v>934</v>
      </c>
      <c r="C233" s="567">
        <f>'r-in'!P187</f>
        <v>3665.3745480902894</v>
      </c>
      <c r="D233" s="567">
        <f>'r-in'!Q187</f>
        <v>4.9742967065569887</v>
      </c>
      <c r="E233" s="568">
        <f>'r-in'!R187</f>
        <v>1031856.0248536698</v>
      </c>
      <c r="F233" s="567">
        <f>'r-in'!S187</f>
        <v>2.1871845198911934</v>
      </c>
      <c r="G233" s="568">
        <f>'r-in'!T187</f>
        <v>3212.3311445671902</v>
      </c>
      <c r="H233" s="567">
        <f>'r-in'!U187</f>
        <v>5.1120905184339076</v>
      </c>
      <c r="I233" s="568">
        <f>'r-in'!V187</f>
        <v>3458.1891875198075</v>
      </c>
      <c r="J233" s="567">
        <f>'r-in'!W187</f>
        <v>3.5088063899481301</v>
      </c>
      <c r="K233" s="568">
        <f>'r-in'!X187</f>
        <v>4651014.7496359488</v>
      </c>
      <c r="L233" s="567">
        <f>'r-in'!Y187</f>
        <v>2.2407429159812127</v>
      </c>
      <c r="M233" s="568">
        <f>'r-in'!Z187</f>
        <v>2432.4679139060008</v>
      </c>
      <c r="N233" s="567">
        <f>'r-in'!AA187</f>
        <v>11.276627800616412</v>
      </c>
      <c r="O233" s="568">
        <f>'r-in'!AB187</f>
        <v>992381.53331352083</v>
      </c>
      <c r="P233" s="567">
        <f>'r-in'!AC187</f>
        <v>2.2732600269973156</v>
      </c>
      <c r="Q233" s="568">
        <f>'r-in'!AD187</f>
        <v>4571432.9823049381</v>
      </c>
      <c r="R233" s="567">
        <f>'r-in'!AE187</f>
        <v>2.2797477328314844</v>
      </c>
      <c r="S233" s="588">
        <f>'r-in'!AF187</f>
        <v>4.5889534099513014</v>
      </c>
      <c r="T233" s="588">
        <f>'r-in'!AG187</f>
        <v>1.7188238402508771E-2</v>
      </c>
      <c r="U233" s="588">
        <f>'r-in'!AH187</f>
        <v>4.6061964592432307</v>
      </c>
      <c r="V233" s="588">
        <f>'r-in'!AI187</f>
        <v>2.2191560661475335E-2</v>
      </c>
      <c r="W233" s="569">
        <v>130</v>
      </c>
      <c r="X233" s="776">
        <f t="shared" si="107"/>
        <v>0.88166016298203964</v>
      </c>
      <c r="Y233" s="610">
        <f t="shared" si="109"/>
        <v>4.0610999209836809</v>
      </c>
      <c r="Z233" s="639">
        <f t="shared" si="110"/>
        <v>1.7188238402508771E-2</v>
      </c>
      <c r="AA233" s="666">
        <f t="shared" si="112"/>
        <v>1.6278014511483807</v>
      </c>
      <c r="AB233" s="667">
        <f t="shared" si="113"/>
        <v>0.17216217441928805</v>
      </c>
      <c r="AC233" s="570">
        <v>1</v>
      </c>
      <c r="AD233" s="787">
        <f t="shared" si="108"/>
        <v>7.1336235325154998E-2</v>
      </c>
      <c r="AE233" s="571">
        <v>285</v>
      </c>
      <c r="AF233" s="571">
        <v>14</v>
      </c>
      <c r="AG233" s="571">
        <v>2.1</v>
      </c>
      <c r="AH233" s="572">
        <f t="shared" si="111"/>
        <v>1.4465523582015647</v>
      </c>
      <c r="AI233" s="742">
        <f t="shared" si="114"/>
        <v>1879.3394791235855</v>
      </c>
      <c r="AJ233" s="742"/>
      <c r="AK233" s="742"/>
      <c r="AL233" s="788">
        <f>AGaverage(AA233:AA247)</f>
        <v>1.0145110516755966</v>
      </c>
      <c r="AM233" s="788">
        <f>STDEV(AA233:AA247)/(COUNT(AA233:AA247)-1)^0.5</f>
        <v>0.13059132491055866</v>
      </c>
      <c r="AN233" s="573"/>
      <c r="AP233" s="240"/>
      <c r="AQ233" s="570"/>
      <c r="AR233" s="241"/>
      <c r="AS233" s="723"/>
      <c r="AT233" s="777"/>
      <c r="AU233" s="777"/>
      <c r="AV233" s="778"/>
      <c r="AW233" s="570"/>
      <c r="AX233" s="723"/>
      <c r="AY233" s="240"/>
      <c r="AZ233" s="570"/>
      <c r="BA233" s="770"/>
      <c r="BB233" s="570"/>
      <c r="BC233" s="723"/>
      <c r="BD233" s="723"/>
      <c r="BE233" s="723"/>
      <c r="BF233" s="624"/>
      <c r="BG233" s="570"/>
      <c r="BH233" s="769"/>
      <c r="BI233" s="769"/>
      <c r="BJ233" s="769"/>
      <c r="BK233" s="769"/>
      <c r="BL233" s="769"/>
      <c r="BM233" s="769"/>
      <c r="BN233" s="574"/>
      <c r="BO233" s="574"/>
      <c r="BP233" s="574"/>
      <c r="BY233" s="437">
        <v>9.9860000000000007</v>
      </c>
    </row>
    <row r="234" spans="1:77" ht="15" customHeight="1" x14ac:dyDescent="0.15">
      <c r="A234" s="782" t="str">
        <f>'r-in'!A188</f>
        <v>131_U</v>
      </c>
      <c r="B234" s="258" t="s">
        <v>934</v>
      </c>
      <c r="C234" s="162">
        <f>'r-in'!P188</f>
        <v>4145.720958026367</v>
      </c>
      <c r="D234" s="162">
        <f>'r-in'!Q188</f>
        <v>4.7478494840282615</v>
      </c>
      <c r="E234" s="81">
        <f>'r-in'!R188</f>
        <v>994336.79826683691</v>
      </c>
      <c r="F234" s="162">
        <f>'r-in'!S188</f>
        <v>1.6326579335942994</v>
      </c>
      <c r="G234" s="81">
        <f>'r-in'!T188</f>
        <v>3228.5062815773595</v>
      </c>
      <c r="H234" s="162">
        <f>'r-in'!U188</f>
        <v>5.4334167187408093</v>
      </c>
      <c r="I234" s="81">
        <f>'r-in'!V188</f>
        <v>3726.2612506720025</v>
      </c>
      <c r="J234" s="162">
        <f>'r-in'!W188</f>
        <v>3.4825382108495773</v>
      </c>
      <c r="K234" s="81">
        <f>'r-in'!X188</f>
        <v>4476035.8147307858</v>
      </c>
      <c r="L234" s="162">
        <f>'r-in'!Y188</f>
        <v>1.6755230539177117</v>
      </c>
      <c r="M234" s="81">
        <f>'r-in'!Z188</f>
        <v>3332.1700401260823</v>
      </c>
      <c r="N234" s="162">
        <f>'r-in'!AA188</f>
        <v>7.2704039080129395</v>
      </c>
      <c r="O234" s="81">
        <f>'r-in'!AB188</f>
        <v>954928.53002041799</v>
      </c>
      <c r="P234" s="162">
        <f>'r-in'!AC188</f>
        <v>1.6964195603474732</v>
      </c>
      <c r="Q234" s="81">
        <f>'r-in'!AD188</f>
        <v>4396547.95895248</v>
      </c>
      <c r="R234" s="162">
        <f>'r-in'!AE188</f>
        <v>1.7056651649064221</v>
      </c>
      <c r="S234" s="157">
        <f>'r-in'!AF188</f>
        <v>4.584366025144786</v>
      </c>
      <c r="T234" s="157">
        <f>'r-in'!AG188</f>
        <v>2.6630615147215236E-2</v>
      </c>
      <c r="U234" s="157">
        <f>'r-in'!AH188</f>
        <v>4.603602303207996</v>
      </c>
      <c r="V234" s="157">
        <f>'r-in'!AI188</f>
        <v>2.6832492006191453E-2</v>
      </c>
      <c r="W234" s="158">
        <v>131</v>
      </c>
      <c r="X234" s="764">
        <f t="shared" si="107"/>
        <v>0.88168316880620889</v>
      </c>
      <c r="Y234" s="387">
        <f t="shared" si="109"/>
        <v>4.0589186666159875</v>
      </c>
      <c r="Z234" s="640">
        <f t="shared" si="110"/>
        <v>2.6630615147215236E-2</v>
      </c>
      <c r="AA234" s="473">
        <f t="shared" si="112"/>
        <v>1.0898178853095963</v>
      </c>
      <c r="AB234" s="478">
        <f t="shared" si="113"/>
        <v>0.26659637667902913</v>
      </c>
      <c r="AC234" s="108">
        <v>1</v>
      </c>
      <c r="AD234" s="159">
        <f t="shared" si="108"/>
        <v>7.1336235325154998E-2</v>
      </c>
      <c r="AE234" s="160">
        <v>285</v>
      </c>
      <c r="AF234" s="160">
        <v>14</v>
      </c>
      <c r="AG234" s="160">
        <v>2.1</v>
      </c>
      <c r="AH234" s="303">
        <f t="shared" si="111"/>
        <v>1.3921693526282082</v>
      </c>
      <c r="AI234" s="86">
        <f t="shared" si="114"/>
        <v>1319.4248510757643</v>
      </c>
      <c r="AJ234" s="86"/>
      <c r="AK234" s="86"/>
      <c r="AL234" s="775"/>
      <c r="AM234" s="775"/>
      <c r="AN234" s="536"/>
      <c r="AP234" s="53"/>
      <c r="AQ234" s="108"/>
      <c r="AR234" s="108"/>
      <c r="AS234" s="724"/>
      <c r="AT234" s="724"/>
      <c r="AU234" s="724"/>
      <c r="AV234" s="634"/>
      <c r="AW234" s="108"/>
      <c r="AX234" s="725"/>
      <c r="AY234" s="53"/>
      <c r="AZ234" s="108"/>
      <c r="BA234" s="771"/>
      <c r="BB234" s="108"/>
      <c r="BC234" s="724"/>
      <c r="BD234" s="724"/>
      <c r="BE234" s="724"/>
      <c r="BF234" s="634"/>
      <c r="BG234" s="108"/>
      <c r="BH234" s="725"/>
      <c r="BI234" s="725"/>
      <c r="BJ234" s="725"/>
      <c r="BK234" s="725"/>
      <c r="BL234" s="634"/>
      <c r="BM234" s="724"/>
      <c r="BN234" s="475"/>
      <c r="BO234" s="475"/>
      <c r="BP234" s="10"/>
      <c r="BY234" s="14">
        <v>9.9860000000000007</v>
      </c>
    </row>
    <row r="235" spans="1:77" ht="15" customHeight="1" x14ac:dyDescent="0.15">
      <c r="A235" s="782" t="str">
        <f>'r-in'!A189</f>
        <v>132_U</v>
      </c>
      <c r="B235" s="258" t="s">
        <v>934</v>
      </c>
      <c r="C235" s="162">
        <f>'r-in'!P189</f>
        <v>3869.1046174732737</v>
      </c>
      <c r="D235" s="162">
        <f>'r-in'!Q189</f>
        <v>5.2123188317305864</v>
      </c>
      <c r="E235" s="81">
        <f>'r-in'!R189</f>
        <v>974709.96249381697</v>
      </c>
      <c r="F235" s="162">
        <f>'r-in'!S189</f>
        <v>1.5348965534711048</v>
      </c>
      <c r="G235" s="81">
        <f>'r-in'!T189</f>
        <v>3421.6535795977225</v>
      </c>
      <c r="H235" s="162">
        <f>'r-in'!U189</f>
        <v>4.0960587516389442</v>
      </c>
      <c r="I235" s="81">
        <f>'r-in'!V189</f>
        <v>3664.4767520216242</v>
      </c>
      <c r="J235" s="162">
        <f>'r-in'!W189</f>
        <v>3.4568059131183921</v>
      </c>
      <c r="K235" s="81">
        <f>'r-in'!X189</f>
        <v>4384581.7153655589</v>
      </c>
      <c r="L235" s="162">
        <f>'r-in'!Y189</f>
        <v>1.5730749072369377</v>
      </c>
      <c r="M235" s="81">
        <f>'r-in'!Z189</f>
        <v>2698.0189510238038</v>
      </c>
      <c r="N235" s="162">
        <f>'r-in'!AA189</f>
        <v>9.3117712922483733</v>
      </c>
      <c r="O235" s="81">
        <f>'r-in'!AB189</f>
        <v>935572.4855583912</v>
      </c>
      <c r="P235" s="162">
        <f>'r-in'!AC189</f>
        <v>1.5973743796276794</v>
      </c>
      <c r="Q235" s="81">
        <f>'r-in'!AD189</f>
        <v>4306243.6104546255</v>
      </c>
      <c r="R235" s="162">
        <f>'r-in'!AE189</f>
        <v>1.602346512453749</v>
      </c>
      <c r="S235" s="157">
        <f>'r-in'!AF189</f>
        <v>4.5856104860613272</v>
      </c>
      <c r="T235" s="157">
        <f>'r-in'!AG189</f>
        <v>2.1944586702894949E-2</v>
      </c>
      <c r="U235" s="157">
        <f>'r-in'!AH189</f>
        <v>4.6025760349671225</v>
      </c>
      <c r="V235" s="157">
        <f>'r-in'!AI189</f>
        <v>2.3102812030607923E-2</v>
      </c>
      <c r="W235" s="158">
        <v>132</v>
      </c>
      <c r="X235" s="764">
        <f t="shared" si="107"/>
        <v>0.88170608034744291</v>
      </c>
      <c r="Y235" s="387">
        <f t="shared" si="109"/>
        <v>4.0581192752919373</v>
      </c>
      <c r="Z235" s="640">
        <f t="shared" si="110"/>
        <v>2.1944586702894949E-2</v>
      </c>
      <c r="AA235" s="473">
        <f t="shared" si="112"/>
        <v>0.89265637980950885</v>
      </c>
      <c r="AB235" s="478">
        <f t="shared" si="113"/>
        <v>0.21964175678235165</v>
      </c>
      <c r="AC235" s="108">
        <v>1</v>
      </c>
      <c r="AD235" s="159">
        <f t="shared" si="108"/>
        <v>7.1336235325154998E-2</v>
      </c>
      <c r="AE235" s="160">
        <v>285</v>
      </c>
      <c r="AF235" s="160">
        <v>14</v>
      </c>
      <c r="AG235" s="160">
        <v>2.1</v>
      </c>
      <c r="AH235" s="303">
        <f t="shared" si="111"/>
        <v>1.3645009156555676</v>
      </c>
      <c r="AI235" s="86">
        <f t="shared" si="114"/>
        <v>1596.0761168191782</v>
      </c>
      <c r="AJ235" s="86"/>
      <c r="AK235" s="86"/>
      <c r="AL235" s="86"/>
      <c r="AM235" s="86"/>
      <c r="AN235" s="536"/>
      <c r="AP235" s="53"/>
      <c r="AQ235" s="108"/>
      <c r="AR235" s="110"/>
      <c r="AS235" s="724"/>
      <c r="AT235" s="750"/>
      <c r="AU235" s="750"/>
      <c r="AV235" s="751"/>
      <c r="AW235" s="108"/>
      <c r="AX235" s="724"/>
      <c r="AY235" s="53"/>
      <c r="AZ235" s="108"/>
      <c r="BA235" s="771"/>
      <c r="BB235" s="108"/>
      <c r="BC235" s="724"/>
      <c r="BD235" s="724"/>
      <c r="BE235" s="724"/>
      <c r="BF235" s="634"/>
      <c r="BG235" s="108"/>
      <c r="BH235" s="725"/>
      <c r="BI235" s="725"/>
      <c r="BJ235" s="725"/>
      <c r="BK235" s="725"/>
      <c r="BL235" s="725"/>
      <c r="BM235" s="725"/>
      <c r="BN235" s="475"/>
      <c r="BO235" s="475"/>
      <c r="BP235" s="475"/>
      <c r="BY235" s="14">
        <v>9.9860000000000007</v>
      </c>
    </row>
    <row r="236" spans="1:77" ht="15" customHeight="1" x14ac:dyDescent="0.15">
      <c r="A236" s="782" t="str">
        <f>'r-in'!A190</f>
        <v>133_U</v>
      </c>
      <c r="B236" s="258" t="s">
        <v>934</v>
      </c>
      <c r="C236" s="162">
        <f>'r-in'!P190</f>
        <v>3859.594590806144</v>
      </c>
      <c r="D236" s="162">
        <f>'r-in'!Q190</f>
        <v>4.1206899481000514</v>
      </c>
      <c r="E236" s="81">
        <f>'r-in'!R190</f>
        <v>987476.30839031283</v>
      </c>
      <c r="F236" s="162">
        <f>'r-in'!S190</f>
        <v>1.7363704719012436</v>
      </c>
      <c r="G236" s="81">
        <f>'r-in'!T190</f>
        <v>3589.7438837475952</v>
      </c>
      <c r="H236" s="162">
        <f>'r-in'!U190</f>
        <v>4.5301162935163868</v>
      </c>
      <c r="I236" s="81">
        <f>'r-in'!V190</f>
        <v>3736.1867327348282</v>
      </c>
      <c r="J236" s="162">
        <f>'r-in'!W190</f>
        <v>3.224219584951602</v>
      </c>
      <c r="K236" s="81">
        <f>'r-in'!X190</f>
        <v>4444735.6493569398</v>
      </c>
      <c r="L236" s="162">
        <f>'r-in'!Y190</f>
        <v>1.7810618153187545</v>
      </c>
      <c r="M236" s="81">
        <f>'r-in'!Z190</f>
        <v>2506.6308718995278</v>
      </c>
      <c r="N236" s="162">
        <f>'r-in'!AA190</f>
        <v>7.1359813035820601</v>
      </c>
      <c r="O236" s="81">
        <f>'r-in'!AB190</f>
        <v>948668.6629115995</v>
      </c>
      <c r="P236" s="162">
        <f>'r-in'!AC190</f>
        <v>1.8079295255191981</v>
      </c>
      <c r="Q236" s="81">
        <f>'r-in'!AD190</f>
        <v>4368089.5689784158</v>
      </c>
      <c r="R236" s="162">
        <f>'r-in'!AE190</f>
        <v>1.8121654367036351</v>
      </c>
      <c r="S236" s="157">
        <f>'r-in'!AF190</f>
        <v>4.5857704040445677</v>
      </c>
      <c r="T236" s="157">
        <f>'r-in'!AG190</f>
        <v>2.1322015550604329E-2</v>
      </c>
      <c r="U236" s="157">
        <f>'r-in'!AH190</f>
        <v>4.6042925092834519</v>
      </c>
      <c r="V236" s="157">
        <f>'r-in'!AI190</f>
        <v>2.2656310048276753E-2</v>
      </c>
      <c r="W236" s="158">
        <v>133</v>
      </c>
      <c r="X236" s="764">
        <f t="shared" si="107"/>
        <v>0.88172889266471455</v>
      </c>
      <c r="Y236" s="387">
        <f t="shared" si="109"/>
        <v>4.059737735714938</v>
      </c>
      <c r="Z236" s="640">
        <f t="shared" si="110"/>
        <v>2.1322015550604329E-2</v>
      </c>
      <c r="AA236" s="473">
        <f t="shared" si="112"/>
        <v>1.2918327080868597</v>
      </c>
      <c r="AB236" s="478">
        <f t="shared" si="113"/>
        <v>0.21349560027705827</v>
      </c>
      <c r="AC236" s="108">
        <v>1</v>
      </c>
      <c r="AD236" s="159">
        <f t="shared" si="108"/>
        <v>7.1336235325154998E-2</v>
      </c>
      <c r="AE236" s="160">
        <v>285</v>
      </c>
      <c r="AF236" s="160">
        <v>14</v>
      </c>
      <c r="AG236" s="160">
        <v>2.1</v>
      </c>
      <c r="AH236" s="303">
        <f t="shared" si="111"/>
        <v>1.3850273597533063</v>
      </c>
      <c r="AI236" s="86">
        <f t="shared" si="114"/>
        <v>1742.6138080188377</v>
      </c>
      <c r="AJ236" s="86"/>
      <c r="AK236" s="86"/>
      <c r="AL236" s="775"/>
      <c r="AM236" s="775"/>
      <c r="AN236" s="536"/>
      <c r="AP236" s="53"/>
      <c r="AQ236" s="108"/>
      <c r="AR236" s="108"/>
      <c r="AS236" s="724"/>
      <c r="AT236" s="724"/>
      <c r="AU236" s="724"/>
      <c r="AV236" s="634"/>
      <c r="AW236" s="108"/>
      <c r="AX236" s="725"/>
      <c r="AY236" s="53"/>
      <c r="AZ236" s="108"/>
      <c r="BA236" s="771"/>
      <c r="BB236" s="108"/>
      <c r="BC236" s="724"/>
      <c r="BD236" s="724"/>
      <c r="BE236" s="724"/>
      <c r="BF236" s="634"/>
      <c r="BG236" s="108"/>
      <c r="BH236" s="725"/>
      <c r="BI236" s="725"/>
      <c r="BJ236" s="725"/>
      <c r="BK236" s="725"/>
      <c r="BL236" s="634"/>
      <c r="BM236" s="724"/>
      <c r="BN236" s="475"/>
      <c r="BO236" s="475"/>
      <c r="BP236" s="10"/>
      <c r="BY236" s="14">
        <v>9.9860000000000007</v>
      </c>
    </row>
    <row r="237" spans="1:77" ht="15" customHeight="1" x14ac:dyDescent="0.15">
      <c r="A237" s="782" t="str">
        <f>'r-in'!A191</f>
        <v>134_U</v>
      </c>
      <c r="B237" s="258" t="s">
        <v>934</v>
      </c>
      <c r="C237" s="162">
        <f>'r-in'!P191</f>
        <v>3716.0819683092545</v>
      </c>
      <c r="D237" s="162">
        <f>'r-in'!Q191</f>
        <v>4.4389506387977127</v>
      </c>
      <c r="E237" s="81">
        <f>'r-in'!R191</f>
        <v>966504.31196770992</v>
      </c>
      <c r="F237" s="162">
        <f>'r-in'!S191</f>
        <v>1.8243711280624255</v>
      </c>
      <c r="G237" s="81">
        <f>'r-in'!T191</f>
        <v>3324.3463818592618</v>
      </c>
      <c r="H237" s="162">
        <f>'r-in'!U191</f>
        <v>4.8593060548158968</v>
      </c>
      <c r="I237" s="81">
        <f>'r-in'!V191</f>
        <v>3536.9338379187147</v>
      </c>
      <c r="J237" s="162">
        <f>'r-in'!W191</f>
        <v>3.0356826936168941</v>
      </c>
      <c r="K237" s="81">
        <f>'r-in'!X191</f>
        <v>4351984.1714879265</v>
      </c>
      <c r="L237" s="162">
        <f>'r-in'!Y191</f>
        <v>1.8715120815974333</v>
      </c>
      <c r="M237" s="81">
        <f>'r-in'!Z191</f>
        <v>2915.810383295403</v>
      </c>
      <c r="N237" s="162">
        <f>'r-in'!AA191</f>
        <v>10.222401042584707</v>
      </c>
      <c r="O237" s="81">
        <f>'r-in'!AB191</f>
        <v>927638.22914513107</v>
      </c>
      <c r="P237" s="162">
        <f>'r-in'!AC191</f>
        <v>1.8968360111889013</v>
      </c>
      <c r="Q237" s="81">
        <f>'r-in'!AD191</f>
        <v>4274641.9258478936</v>
      </c>
      <c r="R237" s="162">
        <f>'r-in'!AE191</f>
        <v>1.9048563216962147</v>
      </c>
      <c r="S237" s="157">
        <f>'r-in'!AF191</f>
        <v>4.588596116516511</v>
      </c>
      <c r="T237" s="157">
        <f>'r-in'!AG191</f>
        <v>2.0385643657334238E-2</v>
      </c>
      <c r="U237" s="157">
        <f>'r-in'!AH191</f>
        <v>4.6077281428354269</v>
      </c>
      <c r="V237" s="157">
        <f>'r-in'!AI191</f>
        <v>2.0951960069404228E-2</v>
      </c>
      <c r="W237" s="158">
        <v>134</v>
      </c>
      <c r="X237" s="764">
        <f t="shared" si="107"/>
        <v>0.88175160093361193</v>
      </c>
      <c r="Y237" s="387">
        <f t="shared" si="109"/>
        <v>4.0628716666119962</v>
      </c>
      <c r="Z237" s="640">
        <f t="shared" si="110"/>
        <v>2.0385643657334238E-2</v>
      </c>
      <c r="AA237" s="473">
        <f t="shared" si="112"/>
        <v>2.0647839713887617</v>
      </c>
      <c r="AB237" s="478">
        <f t="shared" si="113"/>
        <v>0.20427735607597697</v>
      </c>
      <c r="AC237" s="108">
        <v>1</v>
      </c>
      <c r="AD237" s="159">
        <f t="shared" si="108"/>
        <v>7.1336235325154998E-2</v>
      </c>
      <c r="AE237" s="160">
        <v>285</v>
      </c>
      <c r="AF237" s="160">
        <v>14</v>
      </c>
      <c r="AG237" s="160">
        <v>2.1</v>
      </c>
      <c r="AH237" s="303">
        <f t="shared" si="111"/>
        <v>1.3562970181490033</v>
      </c>
      <c r="AI237" s="86">
        <f t="shared" si="114"/>
        <v>1466.0219163554664</v>
      </c>
      <c r="AJ237" s="86"/>
      <c r="AK237" s="86"/>
      <c r="AL237" s="86"/>
      <c r="AM237" s="86"/>
      <c r="AN237" s="536"/>
      <c r="AP237" s="53"/>
      <c r="AQ237" s="108"/>
      <c r="AR237" s="110"/>
      <c r="AS237" s="724"/>
      <c r="AT237" s="750"/>
      <c r="AU237" s="750"/>
      <c r="AV237" s="751"/>
      <c r="AW237" s="108"/>
      <c r="AX237" s="724"/>
      <c r="AY237" s="53"/>
      <c r="AZ237" s="108"/>
      <c r="BA237" s="771"/>
      <c r="BB237" s="108"/>
      <c r="BC237" s="724"/>
      <c r="BD237" s="724"/>
      <c r="BE237" s="724"/>
      <c r="BF237" s="634"/>
      <c r="BG237" s="108"/>
      <c r="BH237" s="725"/>
      <c r="BI237" s="725"/>
      <c r="BJ237" s="725"/>
      <c r="BK237" s="725"/>
      <c r="BL237" s="725"/>
      <c r="BM237" s="725"/>
      <c r="BN237" s="475"/>
      <c r="BO237" s="475"/>
      <c r="BP237" s="475"/>
      <c r="BY237" s="14">
        <v>9.9860000000000007</v>
      </c>
    </row>
    <row r="238" spans="1:77" ht="15" customHeight="1" x14ac:dyDescent="0.15">
      <c r="A238" s="782" t="str">
        <f>'r-in'!A192</f>
        <v>135_U</v>
      </c>
      <c r="B238" s="258" t="s">
        <v>934</v>
      </c>
      <c r="C238" s="162">
        <f>'r-in'!P192</f>
        <v>3646.3905289872287</v>
      </c>
      <c r="D238" s="162">
        <f>'r-in'!Q192</f>
        <v>5.0594136205708296</v>
      </c>
      <c r="E238" s="81">
        <f>'r-in'!R192</f>
        <v>1020628.2934210125</v>
      </c>
      <c r="F238" s="162">
        <f>'r-in'!S192</f>
        <v>1.8103544559086917</v>
      </c>
      <c r="G238" s="81">
        <f>'r-in'!T192</f>
        <v>3167.8873911877486</v>
      </c>
      <c r="H238" s="162">
        <f>'r-in'!U192</f>
        <v>6.1332579937271063</v>
      </c>
      <c r="I238" s="81">
        <f>'r-in'!V192</f>
        <v>3427.5619479547336</v>
      </c>
      <c r="J238" s="162">
        <f>'r-in'!W192</f>
        <v>3.9675204265129773</v>
      </c>
      <c r="K238" s="81">
        <f>'r-in'!X192</f>
        <v>4599996.3706779256</v>
      </c>
      <c r="L238" s="162">
        <f>'r-in'!Y192</f>
        <v>1.8575341829944372</v>
      </c>
      <c r="M238" s="81">
        <f>'r-in'!Z192</f>
        <v>2789.7248995735031</v>
      </c>
      <c r="N238" s="162">
        <f>'r-in'!AA192</f>
        <v>8.1697329460426076</v>
      </c>
      <c r="O238" s="81">
        <f>'r-in'!AB192</f>
        <v>981969.92483205895</v>
      </c>
      <c r="P238" s="162">
        <f>'r-in'!AC192</f>
        <v>1.8803995081609033</v>
      </c>
      <c r="Q238" s="81">
        <f>'r-in'!AD192</f>
        <v>4522476.9877040237</v>
      </c>
      <c r="R238" s="162">
        <f>'r-in'!AE192</f>
        <v>1.8893360854615682</v>
      </c>
      <c r="S238" s="157">
        <f>'r-in'!AF192</f>
        <v>4.586822288395684</v>
      </c>
      <c r="T238" s="157">
        <f>'r-in'!AG192</f>
        <v>1.9874741609311925E-2</v>
      </c>
      <c r="U238" s="157">
        <f>'r-in'!AH192</f>
        <v>4.605168002194465</v>
      </c>
      <c r="V238" s="157">
        <f>'r-in'!AI192</f>
        <v>2.34767050443732E-2</v>
      </c>
      <c r="W238" s="158">
        <v>135</v>
      </c>
      <c r="X238" s="764">
        <f t="shared" si="107"/>
        <v>0.88177420044638033</v>
      </c>
      <c r="Y238" s="387">
        <f t="shared" si="109"/>
        <v>4.0607183330562791</v>
      </c>
      <c r="Z238" s="640">
        <f t="shared" si="110"/>
        <v>1.9874741609311925E-2</v>
      </c>
      <c r="AA238" s="473">
        <f t="shared" si="112"/>
        <v>1.533686781669541</v>
      </c>
      <c r="AB238" s="478">
        <f t="shared" si="113"/>
        <v>0.1990522323780386</v>
      </c>
      <c r="AC238" s="108">
        <v>1</v>
      </c>
      <c r="AD238" s="159">
        <f t="shared" si="108"/>
        <v>7.1336235325154998E-2</v>
      </c>
      <c r="AE238" s="160">
        <v>285</v>
      </c>
      <c r="AF238" s="160">
        <v>14</v>
      </c>
      <c r="AG238" s="160">
        <v>2.1</v>
      </c>
      <c r="AH238" s="303">
        <f t="shared" si="111"/>
        <v>1.4358742846064407</v>
      </c>
      <c r="AI238" s="86">
        <f t="shared" si="114"/>
        <v>1621.1193399017322</v>
      </c>
      <c r="AJ238" s="86"/>
      <c r="AK238" s="86"/>
      <c r="AL238" s="775"/>
      <c r="AM238" s="775"/>
      <c r="AN238" s="536"/>
      <c r="AP238" s="53"/>
      <c r="AQ238" s="108"/>
      <c r="AR238" s="108"/>
      <c r="AS238" s="724"/>
      <c r="AT238" s="724"/>
      <c r="AU238" s="724"/>
      <c r="AV238" s="634"/>
      <c r="AW238" s="108"/>
      <c r="AX238" s="725"/>
      <c r="AY238" s="53"/>
      <c r="AZ238" s="108"/>
      <c r="BA238" s="771"/>
      <c r="BB238" s="108"/>
      <c r="BC238" s="724"/>
      <c r="BD238" s="724"/>
      <c r="BE238" s="724"/>
      <c r="BF238" s="634"/>
      <c r="BG238" s="108"/>
      <c r="BH238" s="725"/>
      <c r="BI238" s="725"/>
      <c r="BJ238" s="725"/>
      <c r="BK238" s="725"/>
      <c r="BL238" s="634"/>
      <c r="BM238" s="724"/>
      <c r="BN238" s="475"/>
      <c r="BO238" s="475"/>
      <c r="BP238" s="10"/>
      <c r="BY238" s="14">
        <v>9.9860000000000007</v>
      </c>
    </row>
    <row r="239" spans="1:77" ht="15" customHeight="1" x14ac:dyDescent="0.15">
      <c r="A239" s="782" t="str">
        <f>'r-in'!A193</f>
        <v>136_U</v>
      </c>
      <c r="B239" s="258" t="s">
        <v>934</v>
      </c>
      <c r="C239" s="162">
        <f>'r-in'!P193</f>
        <v>3900.0101226308802</v>
      </c>
      <c r="D239" s="162">
        <f>'r-in'!Q193</f>
        <v>4.6922369159089286</v>
      </c>
      <c r="E239" s="81">
        <f>'r-in'!R193</f>
        <v>1022039.531505632</v>
      </c>
      <c r="F239" s="162">
        <f>'r-in'!S193</f>
        <v>2.2526713930678812</v>
      </c>
      <c r="G239" s="81">
        <f>'r-in'!T193</f>
        <v>3334.9574172407747</v>
      </c>
      <c r="H239" s="162">
        <f>'r-in'!U193</f>
        <v>4.9075887729964602</v>
      </c>
      <c r="I239" s="81">
        <f>'r-in'!V193</f>
        <v>3641.6007790731255</v>
      </c>
      <c r="J239" s="162">
        <f>'r-in'!W193</f>
        <v>2.7990511729898842</v>
      </c>
      <c r="K239" s="81">
        <f>'r-in'!X193</f>
        <v>4604802.9051095657</v>
      </c>
      <c r="L239" s="162">
        <f>'r-in'!Y193</f>
        <v>2.3121747365815986</v>
      </c>
      <c r="M239" s="81">
        <f>'r-in'!Z193</f>
        <v>3286.3011509072749</v>
      </c>
      <c r="N239" s="162">
        <f>'r-in'!AA193</f>
        <v>6.6735346738668646</v>
      </c>
      <c r="O239" s="81">
        <f>'r-in'!AB193</f>
        <v>983404.97146636725</v>
      </c>
      <c r="P239" s="162">
        <f>'r-in'!AC193</f>
        <v>2.3378016308123644</v>
      </c>
      <c r="Q239" s="81">
        <f>'r-in'!AD193</f>
        <v>4526819.1832779301</v>
      </c>
      <c r="R239" s="162">
        <f>'r-in'!AE193</f>
        <v>2.3520256761123868</v>
      </c>
      <c r="S239" s="157">
        <f>'r-in'!AF193</f>
        <v>4.5836589928082034</v>
      </c>
      <c r="T239" s="157">
        <f>'r-in'!AG193</f>
        <v>2.9505203243477066E-2</v>
      </c>
      <c r="U239" s="157">
        <f>'r-in'!AH193</f>
        <v>4.6024203710088312</v>
      </c>
      <c r="V239" s="157">
        <f>'r-in'!AI193</f>
        <v>2.3698379556226737E-2</v>
      </c>
      <c r="W239" s="158">
        <v>136</v>
      </c>
      <c r="X239" s="764">
        <f t="shared" si="107"/>
        <v>0.88179668661196442</v>
      </c>
      <c r="Y239" s="387">
        <f t="shared" si="109"/>
        <v>4.0583990335509954</v>
      </c>
      <c r="Z239" s="640">
        <f t="shared" si="110"/>
        <v>2.9505203243477066E-2</v>
      </c>
      <c r="AA239" s="473">
        <f t="shared" si="112"/>
        <v>0.96165582710461273</v>
      </c>
      <c r="AB239" s="478">
        <f t="shared" si="113"/>
        <v>0.2953357709409854</v>
      </c>
      <c r="AC239" s="108">
        <v>1</v>
      </c>
      <c r="AD239" s="159">
        <f t="shared" si="108"/>
        <v>7.1336235325154998E-2</v>
      </c>
      <c r="AE239" s="160">
        <v>285</v>
      </c>
      <c r="AF239" s="160">
        <v>14</v>
      </c>
      <c r="AG239" s="160">
        <v>2.1</v>
      </c>
      <c r="AH239" s="303">
        <f t="shared" si="111"/>
        <v>1.4381857901260282</v>
      </c>
      <c r="AI239" s="86">
        <f t="shared" si="114"/>
        <v>1377.4815439626327</v>
      </c>
      <c r="AJ239" s="86"/>
      <c r="AK239" s="86"/>
      <c r="AL239" s="86"/>
      <c r="AM239" s="86"/>
      <c r="AN239" s="536"/>
      <c r="AP239" s="53"/>
      <c r="AQ239" s="108"/>
      <c r="AR239" s="110"/>
      <c r="AS239" s="724"/>
      <c r="AT239" s="750"/>
      <c r="AU239" s="750"/>
      <c r="AV239" s="751"/>
      <c r="AW239" s="108"/>
      <c r="AX239" s="724"/>
      <c r="AY239" s="53"/>
      <c r="AZ239" s="108"/>
      <c r="BA239" s="771"/>
      <c r="BB239" s="108"/>
      <c r="BC239" s="724"/>
      <c r="BD239" s="724"/>
      <c r="BE239" s="724"/>
      <c r="BF239" s="634"/>
      <c r="BG239" s="108"/>
      <c r="BH239" s="725"/>
      <c r="BI239" s="725"/>
      <c r="BJ239" s="725"/>
      <c r="BK239" s="725"/>
      <c r="BL239" s="725"/>
      <c r="BM239" s="725"/>
      <c r="BN239" s="475"/>
      <c r="BO239" s="475"/>
      <c r="BP239" s="475"/>
      <c r="BY239" s="14">
        <v>9.9860000000000007</v>
      </c>
    </row>
    <row r="240" spans="1:77" ht="15" customHeight="1" x14ac:dyDescent="0.15">
      <c r="A240" s="782" t="str">
        <f>'r-in'!A194</f>
        <v>137_U</v>
      </c>
      <c r="B240" s="258" t="s">
        <v>934</v>
      </c>
      <c r="C240" s="162">
        <f>'r-in'!P194</f>
        <v>3987.3405840655946</v>
      </c>
      <c r="D240" s="162">
        <f>'r-in'!Q194</f>
        <v>4.7902816585518888</v>
      </c>
      <c r="E240" s="81">
        <f>'r-in'!R194</f>
        <v>996433.71721220762</v>
      </c>
      <c r="F240" s="162">
        <f>'r-in'!S194</f>
        <v>2.2273020480786134</v>
      </c>
      <c r="G240" s="81">
        <f>'r-in'!T194</f>
        <v>3564.2078790487576</v>
      </c>
      <c r="H240" s="162">
        <f>'r-in'!U194</f>
        <v>5.3427313862580936</v>
      </c>
      <c r="I240" s="81">
        <f>'r-in'!V194</f>
        <v>3793.8339545101617</v>
      </c>
      <c r="J240" s="162">
        <f>'r-in'!W194</f>
        <v>3.7302151357487379</v>
      </c>
      <c r="K240" s="81">
        <f>'r-in'!X194</f>
        <v>4484220.9683470391</v>
      </c>
      <c r="L240" s="162">
        <f>'r-in'!Y194</f>
        <v>2.2824207478696423</v>
      </c>
      <c r="M240" s="81">
        <f>'r-in'!Z194</f>
        <v>3278.80766784558</v>
      </c>
      <c r="N240" s="162">
        <f>'r-in'!AA194</f>
        <v>7.1157009363981754</v>
      </c>
      <c r="O240" s="81">
        <f>'r-in'!AB194</f>
        <v>957682.7388779273</v>
      </c>
      <c r="P240" s="162">
        <f>'r-in'!AC194</f>
        <v>2.313808375816921</v>
      </c>
      <c r="Q240" s="81">
        <f>'r-in'!AD194</f>
        <v>4405982.7824590029</v>
      </c>
      <c r="R240" s="162">
        <f>'r-in'!AE194</f>
        <v>2.3227991592773525</v>
      </c>
      <c r="S240" s="157">
        <f>'r-in'!AF194</f>
        <v>4.5819682924495471</v>
      </c>
      <c r="T240" s="157">
        <f>'r-in'!AG194</f>
        <v>2.1072793881288812E-2</v>
      </c>
      <c r="U240" s="157">
        <f>'r-in'!AH194</f>
        <v>4.60019924337477</v>
      </c>
      <c r="V240" s="157">
        <f>'r-in'!AI194</f>
        <v>2.371398045535596E-2</v>
      </c>
      <c r="W240" s="158">
        <v>137</v>
      </c>
      <c r="X240" s="764">
        <f t="shared" si="107"/>
        <v>0.88181905495604918</v>
      </c>
      <c r="Y240" s="387">
        <f t="shared" si="109"/>
        <v>4.056543349402272</v>
      </c>
      <c r="Z240" s="640">
        <f t="shared" si="110"/>
        <v>2.1072793881288812E-2</v>
      </c>
      <c r="AA240" s="473">
        <f t="shared" si="112"/>
        <v>0.50397074911145978</v>
      </c>
      <c r="AB240" s="478">
        <f t="shared" si="113"/>
        <v>0.21083413953015828</v>
      </c>
      <c r="AC240" s="108">
        <v>1</v>
      </c>
      <c r="AD240" s="159">
        <f t="shared" si="108"/>
        <v>7.1336235325154998E-2</v>
      </c>
      <c r="AE240" s="160">
        <v>285</v>
      </c>
      <c r="AF240" s="160">
        <v>14</v>
      </c>
      <c r="AG240" s="160">
        <v>2.1</v>
      </c>
      <c r="AH240" s="303">
        <f t="shared" si="111"/>
        <v>1.4006941450115677</v>
      </c>
      <c r="AI240" s="86">
        <f t="shared" si="114"/>
        <v>1343.7759175895976</v>
      </c>
      <c r="AJ240" s="86"/>
      <c r="AK240" s="86"/>
      <c r="AL240" s="775"/>
      <c r="AM240" s="775"/>
      <c r="AN240" s="536"/>
      <c r="AP240" s="53"/>
      <c r="AQ240" s="108"/>
      <c r="AR240" s="108"/>
      <c r="AS240" s="724"/>
      <c r="AT240" s="724"/>
      <c r="AU240" s="724"/>
      <c r="AV240" s="634"/>
      <c r="AW240" s="108"/>
      <c r="AX240" s="725"/>
      <c r="AY240" s="53"/>
      <c r="AZ240" s="108"/>
      <c r="BA240" s="771"/>
      <c r="BB240" s="108"/>
      <c r="BC240" s="724"/>
      <c r="BD240" s="724"/>
      <c r="BE240" s="724"/>
      <c r="BF240" s="634"/>
      <c r="BG240" s="108"/>
      <c r="BH240" s="725"/>
      <c r="BI240" s="725"/>
      <c r="BJ240" s="725"/>
      <c r="BK240" s="725"/>
      <c r="BL240" s="634"/>
      <c r="BM240" s="724"/>
      <c r="BN240" s="475"/>
      <c r="BO240" s="475"/>
      <c r="BP240" s="10"/>
      <c r="BY240" s="14">
        <v>9.9860000000000007</v>
      </c>
    </row>
    <row r="241" spans="1:77" ht="15" customHeight="1" x14ac:dyDescent="0.15">
      <c r="A241" s="782" t="str">
        <f>'r-in'!A195</f>
        <v>138_U</v>
      </c>
      <c r="B241" s="258" t="s">
        <v>934</v>
      </c>
      <c r="C241" s="162">
        <f>'r-in'!P195</f>
        <v>3828.4186607728079</v>
      </c>
      <c r="D241" s="162">
        <f>'r-in'!Q195</f>
        <v>4.7737305238757575</v>
      </c>
      <c r="E241" s="81">
        <f>'r-in'!R195</f>
        <v>1014008.9629766403</v>
      </c>
      <c r="F241" s="162">
        <f>'r-in'!S195</f>
        <v>1.9997978650219461</v>
      </c>
      <c r="G241" s="81">
        <f>'r-in'!T195</f>
        <v>3351.985160800999</v>
      </c>
      <c r="H241" s="162">
        <f>'r-in'!U195</f>
        <v>4.5858305358778111</v>
      </c>
      <c r="I241" s="81">
        <f>'r-in'!V195</f>
        <v>3610.5365644617359</v>
      </c>
      <c r="J241" s="162">
        <f>'r-in'!W195</f>
        <v>3.5427643537428142</v>
      </c>
      <c r="K241" s="81">
        <f>'r-in'!X195</f>
        <v>4564211.5970735615</v>
      </c>
      <c r="L241" s="162">
        <f>'r-in'!Y195</f>
        <v>2.0464553861215613</v>
      </c>
      <c r="M241" s="81">
        <f>'r-in'!Z195</f>
        <v>3670.7117301238545</v>
      </c>
      <c r="N241" s="162">
        <f>'r-in'!AA195</f>
        <v>6.2142639272543967</v>
      </c>
      <c r="O241" s="81">
        <f>'r-in'!AB195</f>
        <v>975435.71340636979</v>
      </c>
      <c r="P241" s="162">
        <f>'r-in'!AC195</f>
        <v>2.0783153583652982</v>
      </c>
      <c r="Q241" s="81">
        <f>'r-in'!AD195</f>
        <v>4485787.3936432432</v>
      </c>
      <c r="R241" s="162">
        <f>'r-in'!AE195</f>
        <v>2.0810978136232396</v>
      </c>
      <c r="S241" s="157">
        <f>'r-in'!AF195</f>
        <v>4.5811093315632725</v>
      </c>
      <c r="T241" s="157">
        <f>'r-in'!AG195</f>
        <v>2.1735602183065028E-2</v>
      </c>
      <c r="U241" s="157">
        <f>'r-in'!AH195</f>
        <v>4.5986117899853927</v>
      </c>
      <c r="V241" s="157">
        <f>'r-in'!AI195</f>
        <v>2.2319926948480083E-2</v>
      </c>
      <c r="W241" s="158">
        <v>138</v>
      </c>
      <c r="X241" s="764">
        <f t="shared" si="107"/>
        <v>0.88184130112110137</v>
      </c>
      <c r="Y241" s="387">
        <f t="shared" si="109"/>
        <v>4.0552458042315553</v>
      </c>
      <c r="Z241" s="640">
        <f t="shared" si="110"/>
        <v>2.1735602183065028E-2</v>
      </c>
      <c r="AA241" s="473">
        <f t="shared" si="112"/>
        <v>0.18394480985461925</v>
      </c>
      <c r="AB241" s="478">
        <f t="shared" si="113"/>
        <v>0.21739600334269582</v>
      </c>
      <c r="AC241" s="108">
        <v>1</v>
      </c>
      <c r="AD241" s="159">
        <f t="shared" si="108"/>
        <v>7.1336235325154998E-2</v>
      </c>
      <c r="AE241" s="160">
        <v>285</v>
      </c>
      <c r="AF241" s="160">
        <v>14</v>
      </c>
      <c r="AG241" s="160">
        <v>2.1</v>
      </c>
      <c r="AH241" s="303">
        <f t="shared" si="111"/>
        <v>1.4269699385456782</v>
      </c>
      <c r="AI241" s="86">
        <f t="shared" si="114"/>
        <v>1222.0483991784033</v>
      </c>
      <c r="AJ241" s="86"/>
      <c r="AK241" s="86"/>
      <c r="AL241" s="86"/>
      <c r="AM241" s="86"/>
      <c r="AN241" s="536"/>
      <c r="AP241" s="53"/>
      <c r="AQ241" s="108"/>
      <c r="AR241" s="110"/>
      <c r="AS241" s="724"/>
      <c r="AT241" s="750"/>
      <c r="AU241" s="750"/>
      <c r="AV241" s="751"/>
      <c r="AW241" s="108"/>
      <c r="AX241" s="724"/>
      <c r="AY241" s="53"/>
      <c r="AZ241" s="108"/>
      <c r="BA241" s="771"/>
      <c r="BB241" s="108"/>
      <c r="BC241" s="724"/>
      <c r="BD241" s="724"/>
      <c r="BE241" s="724"/>
      <c r="BF241" s="634"/>
      <c r="BG241" s="108"/>
      <c r="BH241" s="725"/>
      <c r="BI241" s="725"/>
      <c r="BJ241" s="725"/>
      <c r="BK241" s="725"/>
      <c r="BL241" s="725"/>
      <c r="BM241" s="725"/>
      <c r="BN241" s="475"/>
      <c r="BO241" s="475"/>
      <c r="BP241" s="475"/>
      <c r="BY241" s="14">
        <v>9.9860000000000007</v>
      </c>
    </row>
    <row r="242" spans="1:77" ht="15" customHeight="1" x14ac:dyDescent="0.15">
      <c r="A242" s="782" t="str">
        <f>'r-in'!A196</f>
        <v>139_U</v>
      </c>
      <c r="B242" s="258" t="s">
        <v>934</v>
      </c>
      <c r="C242" s="162">
        <f>'r-in'!P196</f>
        <v>4173.8072814821817</v>
      </c>
      <c r="D242" s="162">
        <f>'r-in'!Q196</f>
        <v>4.221435456316347</v>
      </c>
      <c r="E242" s="81">
        <f>'r-in'!R196</f>
        <v>996559.22301406984</v>
      </c>
      <c r="F242" s="162">
        <f>'r-in'!S196</f>
        <v>2.147107064109667</v>
      </c>
      <c r="G242" s="81">
        <f>'r-in'!T196</f>
        <v>3666.2963106828611</v>
      </c>
      <c r="H242" s="162">
        <f>'r-in'!U196</f>
        <v>4.7927213047696977</v>
      </c>
      <c r="I242" s="81">
        <f>'r-in'!V196</f>
        <v>3941.7128669937697</v>
      </c>
      <c r="J242" s="162">
        <f>'r-in'!W196</f>
        <v>3.0874346781780519</v>
      </c>
      <c r="K242" s="81">
        <f>'r-in'!X196</f>
        <v>4485255.09336132</v>
      </c>
      <c r="L242" s="162">
        <f>'r-in'!Y196</f>
        <v>2.2031053489941503</v>
      </c>
      <c r="M242" s="81">
        <f>'r-in'!Z196</f>
        <v>2483.6143257277149</v>
      </c>
      <c r="N242" s="162">
        <f>'r-in'!AA196</f>
        <v>10.130691031114432</v>
      </c>
      <c r="O242" s="81">
        <f>'r-in'!AB196</f>
        <v>957756.10088106431</v>
      </c>
      <c r="P242" s="162">
        <f>'r-in'!AC196</f>
        <v>2.2338973564987006</v>
      </c>
      <c r="Q242" s="81">
        <f>'r-in'!AD196</f>
        <v>4408070.2860994525</v>
      </c>
      <c r="R242" s="162">
        <f>'r-in'!AE196</f>
        <v>2.2391218318338613</v>
      </c>
      <c r="S242" s="157">
        <f>'r-in'!AF196</f>
        <v>4.5825183299590719</v>
      </c>
      <c r="T242" s="157">
        <f>'r-in'!AG196</f>
        <v>2.2559749191995954E-2</v>
      </c>
      <c r="U242" s="157">
        <f>'r-in'!AH196</f>
        <v>4.6022557854764585</v>
      </c>
      <c r="V242" s="157">
        <f>'r-in'!AI196</f>
        <v>2.4604066417068162E-2</v>
      </c>
      <c r="W242" s="158">
        <v>139</v>
      </c>
      <c r="X242" s="764">
        <f t="shared" si="107"/>
        <v>0.88186342086641201</v>
      </c>
      <c r="Y242" s="387">
        <f t="shared" si="109"/>
        <v>4.0585610306825055</v>
      </c>
      <c r="Z242" s="640">
        <f t="shared" si="110"/>
        <v>2.2559749191995954E-2</v>
      </c>
      <c r="AA242" s="473">
        <f t="shared" si="112"/>
        <v>1.0016107245049977</v>
      </c>
      <c r="AB242" s="478">
        <f t="shared" si="113"/>
        <v>0.2258234527872105</v>
      </c>
      <c r="AC242" s="108">
        <v>1</v>
      </c>
      <c r="AD242" s="159">
        <f t="shared" si="108"/>
        <v>7.1336235325154998E-2</v>
      </c>
      <c r="AE242" s="160">
        <v>285</v>
      </c>
      <c r="AF242" s="160">
        <v>14</v>
      </c>
      <c r="AG242" s="160">
        <v>2.1</v>
      </c>
      <c r="AH242" s="303">
        <f t="shared" si="111"/>
        <v>1.4031279912467067</v>
      </c>
      <c r="AI242" s="86">
        <f t="shared" si="114"/>
        <v>1774.8610323415894</v>
      </c>
      <c r="AJ242" s="86"/>
      <c r="AK242" s="86"/>
      <c r="AL242" s="775"/>
      <c r="AM242" s="775"/>
      <c r="AN242" s="536"/>
      <c r="AP242" s="53"/>
      <c r="AQ242" s="108"/>
      <c r="AR242" s="108"/>
      <c r="AS242" s="724"/>
      <c r="AT242" s="724"/>
      <c r="AU242" s="724"/>
      <c r="AV242" s="634"/>
      <c r="AW242" s="108"/>
      <c r="AX242" s="725"/>
      <c r="AY242" s="53"/>
      <c r="AZ242" s="108"/>
      <c r="BA242" s="771"/>
      <c r="BB242" s="108"/>
      <c r="BC242" s="724"/>
      <c r="BD242" s="724"/>
      <c r="BE242" s="724"/>
      <c r="BF242" s="634"/>
      <c r="BG242" s="108"/>
      <c r="BH242" s="725"/>
      <c r="BI242" s="725"/>
      <c r="BJ242" s="725"/>
      <c r="BK242" s="725"/>
      <c r="BL242" s="634"/>
      <c r="BM242" s="724"/>
      <c r="BN242" s="475"/>
      <c r="BO242" s="475"/>
      <c r="BP242" s="10"/>
      <c r="BY242" s="14">
        <v>9.9860000000000007</v>
      </c>
    </row>
    <row r="243" spans="1:77" ht="15" customHeight="1" x14ac:dyDescent="0.15">
      <c r="A243" s="782" t="str">
        <f>'r-in'!A197</f>
        <v>140_U</v>
      </c>
      <c r="B243" s="258" t="s">
        <v>934</v>
      </c>
      <c r="C243" s="162">
        <f>'r-in'!P197</f>
        <v>3699.0898919166875</v>
      </c>
      <c r="D243" s="162">
        <f>'r-in'!Q197</f>
        <v>4.8755247813453524</v>
      </c>
      <c r="E243" s="81">
        <f>'r-in'!R197</f>
        <v>906917.97561491851</v>
      </c>
      <c r="F243" s="162">
        <f>'r-in'!S197</f>
        <v>2.3649007139230336</v>
      </c>
      <c r="G243" s="81">
        <f>'r-in'!T197</f>
        <v>3121.6670683694729</v>
      </c>
      <c r="H243" s="162">
        <f>'r-in'!U197</f>
        <v>4.2271923626611789</v>
      </c>
      <c r="I243" s="81">
        <f>'r-in'!V197</f>
        <v>3435.023458175634</v>
      </c>
      <c r="J243" s="162">
        <f>'r-in'!W197</f>
        <v>3.5529392327663412</v>
      </c>
      <c r="K243" s="81">
        <f>'r-in'!X197</f>
        <v>4074043.7784434361</v>
      </c>
      <c r="L243" s="162">
        <f>'r-in'!Y197</f>
        <v>2.4267821605367641</v>
      </c>
      <c r="M243" s="81">
        <f>'r-in'!Z197</f>
        <v>3107.8020955123698</v>
      </c>
      <c r="N243" s="162">
        <f>'r-in'!AA197</f>
        <v>7.8221479213753673</v>
      </c>
      <c r="O243" s="81">
        <f>'r-in'!AB197</f>
        <v>868438.68022891553</v>
      </c>
      <c r="P243" s="162">
        <f>'r-in'!AC197</f>
        <v>2.4678035298810017</v>
      </c>
      <c r="Q243" s="81">
        <f>'r-in'!AD197</f>
        <v>3996613.1054243189</v>
      </c>
      <c r="R243" s="162">
        <f>'r-in'!AE197</f>
        <v>2.4734952638033274</v>
      </c>
      <c r="S243" s="157">
        <f>'r-in'!AF197</f>
        <v>4.5836596827855951</v>
      </c>
      <c r="T243" s="157">
        <f>'r-in'!AG197</f>
        <v>2.0757966212949168E-2</v>
      </c>
      <c r="U243" s="157">
        <f>'r-in'!AH197</f>
        <v>4.6018061017663587</v>
      </c>
      <c r="V243" s="157">
        <f>'r-in'!AI197</f>
        <v>2.1140853725192831E-2</v>
      </c>
      <c r="W243" s="158">
        <v>140</v>
      </c>
      <c r="X243" s="764">
        <f t="shared" si="107"/>
        <v>0.88188541006813681</v>
      </c>
      <c r="Y243" s="387">
        <f t="shared" si="109"/>
        <v>4.058265661110279</v>
      </c>
      <c r="Z243" s="640">
        <f t="shared" si="110"/>
        <v>2.0757966212949168E-2</v>
      </c>
      <c r="AA243" s="473">
        <f t="shared" si="112"/>
        <v>0.92876091016869111</v>
      </c>
      <c r="AB243" s="478">
        <f t="shared" si="113"/>
        <v>0.20777245400549482</v>
      </c>
      <c r="AC243" s="108">
        <v>1</v>
      </c>
      <c r="AD243" s="159">
        <f t="shared" si="108"/>
        <v>7.1336235325154998E-2</v>
      </c>
      <c r="AE243" s="160">
        <v>285</v>
      </c>
      <c r="AF243" s="160">
        <v>14</v>
      </c>
      <c r="AG243" s="160">
        <v>2.1</v>
      </c>
      <c r="AH243" s="303">
        <f t="shared" si="111"/>
        <v>1.2729478635226268</v>
      </c>
      <c r="AI243" s="86">
        <f t="shared" si="114"/>
        <v>1285.9934392847542</v>
      </c>
      <c r="AJ243" s="86"/>
      <c r="AK243" s="86"/>
      <c r="AL243" s="86"/>
      <c r="AM243" s="86"/>
      <c r="AN243" s="536"/>
      <c r="AP243" s="53"/>
      <c r="AQ243" s="108"/>
      <c r="AR243" s="110"/>
      <c r="AS243" s="724"/>
      <c r="AT243" s="750"/>
      <c r="AU243" s="750"/>
      <c r="AV243" s="751"/>
      <c r="AW243" s="108"/>
      <c r="AX243" s="724"/>
      <c r="AY243" s="53"/>
      <c r="AZ243" s="108"/>
      <c r="BA243" s="771"/>
      <c r="BB243" s="108"/>
      <c r="BC243" s="724"/>
      <c r="BD243" s="724"/>
      <c r="BE243" s="724"/>
      <c r="BF243" s="634"/>
      <c r="BG243" s="108"/>
      <c r="BH243" s="725"/>
      <c r="BI243" s="725"/>
      <c r="BJ243" s="725"/>
      <c r="BK243" s="725"/>
      <c r="BL243" s="725"/>
      <c r="BM243" s="725"/>
      <c r="BN243" s="475"/>
      <c r="BO243" s="475"/>
      <c r="BP243" s="475"/>
      <c r="BY243" s="14">
        <v>9.9860000000000007</v>
      </c>
    </row>
    <row r="244" spans="1:77" ht="15" customHeight="1" x14ac:dyDescent="0.15">
      <c r="A244" s="782" t="str">
        <f>'r-in'!A198</f>
        <v>141_U</v>
      </c>
      <c r="B244" s="258" t="s">
        <v>934</v>
      </c>
      <c r="C244" s="162">
        <f>'r-in'!P198</f>
        <v>4166.3354810417313</v>
      </c>
      <c r="D244" s="162">
        <f>'r-in'!Q198</f>
        <v>3.6368989091377273</v>
      </c>
      <c r="E244" s="81">
        <f>'r-in'!R198</f>
        <v>1067823.5936728409</v>
      </c>
      <c r="F244" s="162">
        <f>'r-in'!S198</f>
        <v>2.0031058880726307</v>
      </c>
      <c r="G244" s="81">
        <f>'r-in'!T198</f>
        <v>3312.160934282479</v>
      </c>
      <c r="H244" s="162">
        <f>'r-in'!U198</f>
        <v>5.0055538471720311</v>
      </c>
      <c r="I244" s="81">
        <f>'r-in'!V198</f>
        <v>3775.7052233573395</v>
      </c>
      <c r="J244" s="162">
        <f>'r-in'!W198</f>
        <v>2.7749187946837077</v>
      </c>
      <c r="K244" s="81">
        <f>'r-in'!X198</f>
        <v>4815208.786120181</v>
      </c>
      <c r="L244" s="162">
        <f>'r-in'!Y198</f>
        <v>2.0492852995504673</v>
      </c>
      <c r="M244" s="81">
        <f>'r-in'!Z198</f>
        <v>3723.09871145229</v>
      </c>
      <c r="N244" s="162">
        <f>'r-in'!AA198</f>
        <v>5.981677174975685</v>
      </c>
      <c r="O244" s="81">
        <f>'r-in'!AB198</f>
        <v>1029173.4144378311</v>
      </c>
      <c r="P244" s="162">
        <f>'r-in'!AC198</f>
        <v>2.0772755610800355</v>
      </c>
      <c r="Q244" s="81">
        <f>'r-in'!AD198</f>
        <v>4737155.3439464811</v>
      </c>
      <c r="R244" s="162">
        <f>'r-in'!AE198</f>
        <v>2.0826983151576854</v>
      </c>
      <c r="S244" s="157">
        <f>'r-in'!AF198</f>
        <v>4.5862766781521582</v>
      </c>
      <c r="T244" s="157">
        <f>'r-in'!AG198</f>
        <v>2.1530147744938645E-2</v>
      </c>
      <c r="U244" s="157">
        <f>'r-in'!AH198</f>
        <v>4.6026832720282354</v>
      </c>
      <c r="V244" s="157">
        <f>'r-in'!AI198</f>
        <v>2.5064345984084781E-2</v>
      </c>
      <c r="W244" s="158">
        <v>141</v>
      </c>
      <c r="X244" s="764">
        <f t="shared" si="107"/>
        <v>0.88190726471933867</v>
      </c>
      <c r="Y244" s="387">
        <f t="shared" si="109"/>
        <v>4.0591398148038769</v>
      </c>
      <c r="Z244" s="640">
        <f t="shared" si="110"/>
        <v>2.1530147744938645E-2</v>
      </c>
      <c r="AA244" s="473">
        <f t="shared" si="112"/>
        <v>1.1443617718280841</v>
      </c>
      <c r="AB244" s="478">
        <f t="shared" si="113"/>
        <v>0.2155478602297034</v>
      </c>
      <c r="AC244" s="108">
        <v>1</v>
      </c>
      <c r="AD244" s="159">
        <f t="shared" si="108"/>
        <v>7.1336235325154998E-2</v>
      </c>
      <c r="AE244" s="160">
        <v>285</v>
      </c>
      <c r="AF244" s="160">
        <v>14</v>
      </c>
      <c r="AG244" s="160">
        <v>2.1</v>
      </c>
      <c r="AH244" s="303">
        <f t="shared" si="111"/>
        <v>1.5097430095891879</v>
      </c>
      <c r="AI244" s="86">
        <f t="shared" si="114"/>
        <v>1272.3689891366412</v>
      </c>
      <c r="AJ244" s="86"/>
      <c r="AK244" s="86"/>
      <c r="AL244" s="775"/>
      <c r="AM244" s="775"/>
      <c r="AN244" s="536"/>
      <c r="AP244" s="53"/>
      <c r="AQ244" s="108"/>
      <c r="AR244" s="108"/>
      <c r="AS244" s="724"/>
      <c r="AT244" s="724"/>
      <c r="AU244" s="724"/>
      <c r="AV244" s="634"/>
      <c r="AW244" s="108"/>
      <c r="AX244" s="725"/>
      <c r="AY244" s="53"/>
      <c r="AZ244" s="108"/>
      <c r="BA244" s="771"/>
      <c r="BB244" s="108"/>
      <c r="BC244" s="724"/>
      <c r="BD244" s="724"/>
      <c r="BE244" s="724"/>
      <c r="BF244" s="634"/>
      <c r="BG244" s="108"/>
      <c r="BH244" s="725"/>
      <c r="BI244" s="725"/>
      <c r="BJ244" s="725"/>
      <c r="BK244" s="725"/>
      <c r="BL244" s="634"/>
      <c r="BM244" s="724"/>
      <c r="BN244" s="475"/>
      <c r="BO244" s="475"/>
      <c r="BP244" s="10"/>
      <c r="BY244" s="14">
        <v>9.9860000000000007</v>
      </c>
    </row>
    <row r="245" spans="1:77" ht="15" customHeight="1" x14ac:dyDescent="0.15">
      <c r="A245" s="782" t="str">
        <f>'r-in'!A199</f>
        <v>142_U</v>
      </c>
      <c r="B245" s="258" t="s">
        <v>934</v>
      </c>
      <c r="C245" s="162">
        <f>'r-in'!P199</f>
        <v>3940.3971921306838</v>
      </c>
      <c r="D245" s="162">
        <f>'r-in'!Q199</f>
        <v>3.8154366632507375</v>
      </c>
      <c r="E245" s="81">
        <f>'r-in'!R199</f>
        <v>880217.51579541864</v>
      </c>
      <c r="F245" s="162">
        <f>'r-in'!S199</f>
        <v>2.0539267580809328</v>
      </c>
      <c r="G245" s="81">
        <f>'r-in'!T199</f>
        <v>3020.8154415625004</v>
      </c>
      <c r="H245" s="162">
        <f>'r-in'!U199</f>
        <v>5.4443001967256821</v>
      </c>
      <c r="I245" s="81">
        <f>'r-in'!V199</f>
        <v>3519.8549767846685</v>
      </c>
      <c r="J245" s="162">
        <f>'r-in'!W199</f>
        <v>3.1132015027311191</v>
      </c>
      <c r="K245" s="81">
        <f>'r-in'!X199</f>
        <v>3952032.8089239891</v>
      </c>
      <c r="L245" s="162">
        <f>'r-in'!Y199</f>
        <v>2.108206434891295</v>
      </c>
      <c r="M245" s="81">
        <f>'r-in'!Z199</f>
        <v>3866.2037612402537</v>
      </c>
      <c r="N245" s="162">
        <f>'r-in'!AA199</f>
        <v>7.6985482971166581</v>
      </c>
      <c r="O245" s="81">
        <f>'r-in'!AB199</f>
        <v>841963.66901984089</v>
      </c>
      <c r="P245" s="162">
        <f>'r-in'!AC199</f>
        <v>2.1473057456778912</v>
      </c>
      <c r="Q245" s="81">
        <f>'r-in'!AD199</f>
        <v>3874662.5417004228</v>
      </c>
      <c r="R245" s="162">
        <f>'r-in'!AE199</f>
        <v>2.1510989992287586</v>
      </c>
      <c r="S245" s="157">
        <f>'r-in'!AF199</f>
        <v>4.5823305485646362</v>
      </c>
      <c r="T245" s="157">
        <f>'r-in'!AG199</f>
        <v>2.2930676672724571E-2</v>
      </c>
      <c r="U245" s="157">
        <f>'r-in'!AH199</f>
        <v>4.6018159127681448</v>
      </c>
      <c r="V245" s="157">
        <f>'r-in'!AI199</f>
        <v>2.4436211933830516E-2</v>
      </c>
      <c r="W245" s="158">
        <v>142</v>
      </c>
      <c r="X245" s="764">
        <f t="shared" si="107"/>
        <v>0.88192898093002803</v>
      </c>
      <c r="Y245" s="387">
        <f t="shared" si="109"/>
        <v>4.0584748183751964</v>
      </c>
      <c r="Z245" s="640">
        <f t="shared" si="110"/>
        <v>2.2930676672724571E-2</v>
      </c>
      <c r="AA245" s="473">
        <f t="shared" si="112"/>
        <v>0.9803473610054958</v>
      </c>
      <c r="AB245" s="478">
        <f t="shared" si="113"/>
        <v>0.22953156701088773</v>
      </c>
      <c r="AC245" s="108">
        <v>1</v>
      </c>
      <c r="AD245" s="159">
        <f t="shared" si="108"/>
        <v>7.1336235325154998E-2</v>
      </c>
      <c r="AE245" s="160">
        <v>285</v>
      </c>
      <c r="AF245" s="160">
        <v>14</v>
      </c>
      <c r="AG245" s="160">
        <v>2.1</v>
      </c>
      <c r="AH245" s="303">
        <f t="shared" si="111"/>
        <v>1.2356156802962657</v>
      </c>
      <c r="AI245" s="86">
        <f t="shared" si="114"/>
        <v>1002.187877562215</v>
      </c>
      <c r="AJ245" s="86"/>
      <c r="AK245" s="86"/>
      <c r="AL245" s="86"/>
      <c r="AM245" s="86"/>
      <c r="AN245" s="536"/>
      <c r="AP245" s="53"/>
      <c r="AQ245" s="108"/>
      <c r="AR245" s="110"/>
      <c r="AS245" s="724"/>
      <c r="AT245" s="750"/>
      <c r="AU245" s="750"/>
      <c r="AV245" s="751"/>
      <c r="AW245" s="108"/>
      <c r="AX245" s="724"/>
      <c r="AY245" s="53"/>
      <c r="AZ245" s="108"/>
      <c r="BA245" s="771"/>
      <c r="BB245" s="108"/>
      <c r="BC245" s="724"/>
      <c r="BD245" s="724"/>
      <c r="BE245" s="724"/>
      <c r="BF245" s="634"/>
      <c r="BG245" s="108"/>
      <c r="BH245" s="725"/>
      <c r="BI245" s="725"/>
      <c r="BJ245" s="725"/>
      <c r="BK245" s="725"/>
      <c r="BL245" s="725"/>
      <c r="BM245" s="725"/>
      <c r="BN245" s="475"/>
      <c r="BO245" s="475"/>
      <c r="BP245" s="475"/>
      <c r="BY245" s="14">
        <v>9.9860000000000007</v>
      </c>
    </row>
    <row r="246" spans="1:77" ht="15" customHeight="1" x14ac:dyDescent="0.15">
      <c r="A246" s="782" t="str">
        <f>'r-in'!A200</f>
        <v>143_U</v>
      </c>
      <c r="B246" s="258" t="s">
        <v>934</v>
      </c>
      <c r="C246" s="162">
        <f>'r-in'!P200</f>
        <v>3678.8484400271341</v>
      </c>
      <c r="D246" s="162">
        <f>'r-in'!Q200</f>
        <v>5.259852706669804</v>
      </c>
      <c r="E246" s="81">
        <f>'r-in'!R200</f>
        <v>973517.98739952629</v>
      </c>
      <c r="F246" s="162">
        <f>'r-in'!S200</f>
        <v>1.6063404466188858</v>
      </c>
      <c r="G246" s="81">
        <f>'r-in'!T200</f>
        <v>3090.6704099988233</v>
      </c>
      <c r="H246" s="162">
        <f>'r-in'!U200</f>
        <v>4.8933456938431563</v>
      </c>
      <c r="I246" s="81">
        <f>'r-in'!V200</f>
        <v>3409.8634459109198</v>
      </c>
      <c r="J246" s="162">
        <f>'r-in'!W200</f>
        <v>3.7664559289248194</v>
      </c>
      <c r="K246" s="81">
        <f>'r-in'!X200</f>
        <v>4380528.3147352124</v>
      </c>
      <c r="L246" s="162">
        <f>'r-in'!Y200</f>
        <v>1.6431896204689957</v>
      </c>
      <c r="M246" s="81">
        <f>'r-in'!Z200</f>
        <v>3942.4320654368453</v>
      </c>
      <c r="N246" s="162">
        <f>'r-in'!AA200</f>
        <v>5.7662228024789988</v>
      </c>
      <c r="O246" s="81">
        <f>'r-in'!AB200</f>
        <v>935423.74561407068</v>
      </c>
      <c r="P246" s="162">
        <f>'r-in'!AC200</f>
        <v>1.6720980335526243</v>
      </c>
      <c r="Q246" s="81">
        <f>'r-in'!AD200</f>
        <v>4302568.8670389121</v>
      </c>
      <c r="R246" s="162">
        <f>'r-in'!AE200</f>
        <v>1.6720093443387425</v>
      </c>
      <c r="S246" s="157">
        <f>'r-in'!AF200</f>
        <v>4.5832367538412599</v>
      </c>
      <c r="T246" s="157">
        <f>'r-in'!AG200</f>
        <v>1.8584184364122149E-2</v>
      </c>
      <c r="U246" s="157">
        <f>'r-in'!AH200</f>
        <v>4.5996198460479025</v>
      </c>
      <c r="V246" s="157">
        <f>'r-in'!AI200</f>
        <v>2.5773462520785315E-2</v>
      </c>
      <c r="W246" s="158">
        <v>143</v>
      </c>
      <c r="X246" s="764">
        <f t="shared" si="107"/>
        <v>0.88195055492720531</v>
      </c>
      <c r="Y246" s="387">
        <f t="shared" si="109"/>
        <v>4.0566372756761346</v>
      </c>
      <c r="Z246" s="640">
        <f t="shared" si="110"/>
        <v>1.8584184364122149E-2</v>
      </c>
      <c r="AA246" s="473">
        <f t="shared" si="112"/>
        <v>0.52713668174497741</v>
      </c>
      <c r="AB246" s="478">
        <f t="shared" si="113"/>
        <v>0.18593980769421314</v>
      </c>
      <c r="AC246" s="108">
        <v>1</v>
      </c>
      <c r="AD246" s="159">
        <f t="shared" si="108"/>
        <v>7.1336235325154998E-2</v>
      </c>
      <c r="AE246" s="160">
        <v>285</v>
      </c>
      <c r="AF246" s="160">
        <v>14</v>
      </c>
      <c r="AG246" s="160">
        <v>2.1</v>
      </c>
      <c r="AH246" s="303">
        <f t="shared" si="111"/>
        <v>1.3728996316214475</v>
      </c>
      <c r="AI246" s="86">
        <f t="shared" si="114"/>
        <v>1091.3488921621181</v>
      </c>
      <c r="AJ246" s="86"/>
      <c r="AK246" s="86"/>
      <c r="AL246" s="775"/>
      <c r="AM246" s="775"/>
      <c r="AN246" s="536"/>
      <c r="AP246" s="53"/>
      <c r="AQ246" s="108"/>
      <c r="AR246" s="108"/>
      <c r="AS246" s="724"/>
      <c r="AT246" s="724"/>
      <c r="AU246" s="724"/>
      <c r="AV246" s="634"/>
      <c r="AW246" s="108"/>
      <c r="AX246" s="725"/>
      <c r="AY246" s="53"/>
      <c r="AZ246" s="108"/>
      <c r="BA246" s="771"/>
      <c r="BB246" s="108"/>
      <c r="BC246" s="724"/>
      <c r="BD246" s="724"/>
      <c r="BE246" s="724"/>
      <c r="BF246" s="634"/>
      <c r="BG246" s="108"/>
      <c r="BH246" s="725"/>
      <c r="BI246" s="725"/>
      <c r="BJ246" s="725"/>
      <c r="BK246" s="725"/>
      <c r="BL246" s="634"/>
      <c r="BM246" s="724"/>
      <c r="BN246" s="475"/>
      <c r="BO246" s="475"/>
      <c r="BP246" s="10"/>
      <c r="BY246" s="14">
        <v>9.9860000000000007</v>
      </c>
    </row>
    <row r="247" spans="1:77" ht="15" customHeight="1" x14ac:dyDescent="0.15">
      <c r="A247" s="782" t="str">
        <f>'r-in'!A201</f>
        <v>144_U</v>
      </c>
      <c r="B247" s="258" t="s">
        <v>934</v>
      </c>
      <c r="C247" s="162">
        <f>'r-in'!P201</f>
        <v>3977.742304919554</v>
      </c>
      <c r="D247" s="162">
        <f>'r-in'!Q201</f>
        <v>4.49931619392071</v>
      </c>
      <c r="E247" s="81">
        <f>'r-in'!R201</f>
        <v>988544.42717433465</v>
      </c>
      <c r="F247" s="162">
        <f>'r-in'!S201</f>
        <v>1.9982082111531938</v>
      </c>
      <c r="G247" s="81">
        <f>'r-in'!T201</f>
        <v>2991.8477196868321</v>
      </c>
      <c r="H247" s="162">
        <f>'r-in'!U201</f>
        <v>4.8704270232149138</v>
      </c>
      <c r="I247" s="81">
        <f>'r-in'!V201</f>
        <v>3526.8739697060364</v>
      </c>
      <c r="J247" s="162">
        <f>'r-in'!W201</f>
        <v>3.4005682318964747</v>
      </c>
      <c r="K247" s="81">
        <f>'r-in'!X201</f>
        <v>4448220.0599152697</v>
      </c>
      <c r="L247" s="162">
        <f>'r-in'!Y201</f>
        <v>2.0520861095415399</v>
      </c>
      <c r="M247" s="81">
        <f>'r-in'!Z201</f>
        <v>3269.2945257985498</v>
      </c>
      <c r="N247" s="162">
        <f>'r-in'!AA201</f>
        <v>6.4157766725469605</v>
      </c>
      <c r="O247" s="81">
        <f>'r-in'!AB201</f>
        <v>950185.12374870037</v>
      </c>
      <c r="P247" s="162">
        <f>'r-in'!AC201</f>
        <v>2.0788350909219453</v>
      </c>
      <c r="Q247" s="81">
        <f>'r-in'!AD201</f>
        <v>4370528.7382686706</v>
      </c>
      <c r="R247" s="162">
        <f>'r-in'!AE201</f>
        <v>2.0886990135149226</v>
      </c>
      <c r="S247" s="157">
        <f>'r-in'!AF201</f>
        <v>4.580626300963206</v>
      </c>
      <c r="T247" s="157">
        <f>'r-in'!AG201</f>
        <v>2.910746688600083E-2</v>
      </c>
      <c r="U247" s="157">
        <f>'r-in'!AH201</f>
        <v>4.5993157579985633</v>
      </c>
      <c r="V247" s="157">
        <f>'r-in'!AI201</f>
        <v>3.1802977768952023E-2</v>
      </c>
      <c r="W247" s="158">
        <v>144</v>
      </c>
      <c r="X247" s="764">
        <f t="shared" si="107"/>
        <v>0.88197198305489999</v>
      </c>
      <c r="Y247" s="387">
        <f t="shared" si="109"/>
        <v>4.0564676397776438</v>
      </c>
      <c r="Z247" s="640">
        <f t="shared" si="110"/>
        <v>2.910746688600083E-2</v>
      </c>
      <c r="AA247" s="473">
        <f t="shared" si="112"/>
        <v>0.48529776239836231</v>
      </c>
      <c r="AB247" s="478">
        <f t="shared" si="113"/>
        <v>0.29121592674563601</v>
      </c>
      <c r="AC247" s="108">
        <v>1</v>
      </c>
      <c r="AD247" s="159">
        <f t="shared" si="108"/>
        <v>7.1336235325154998E-2</v>
      </c>
      <c r="AE247" s="160">
        <v>285</v>
      </c>
      <c r="AF247" s="160">
        <v>14</v>
      </c>
      <c r="AG247" s="160">
        <v>2.1</v>
      </c>
      <c r="AH247" s="303">
        <f t="shared" si="111"/>
        <v>1.3954161568446353</v>
      </c>
      <c r="AI247" s="86">
        <f t="shared" si="114"/>
        <v>1336.8415429628924</v>
      </c>
      <c r="AJ247" s="86"/>
      <c r="AK247" s="86"/>
      <c r="AL247" s="86"/>
      <c r="AM247" s="86"/>
      <c r="AN247" s="536"/>
      <c r="AP247" s="53"/>
      <c r="AQ247" s="108"/>
      <c r="AR247" s="110"/>
      <c r="AS247" s="724"/>
      <c r="AT247" s="750"/>
      <c r="AU247" s="750"/>
      <c r="AV247" s="751"/>
      <c r="AW247" s="108"/>
      <c r="AX247" s="724"/>
      <c r="AY247" s="53"/>
      <c r="AZ247" s="108"/>
      <c r="BA247" s="771"/>
      <c r="BB247" s="108"/>
      <c r="BC247" s="724"/>
      <c r="BD247" s="724"/>
      <c r="BE247" s="724"/>
      <c r="BF247" s="634"/>
      <c r="BG247" s="108"/>
      <c r="BH247" s="725"/>
      <c r="BI247" s="725"/>
      <c r="BJ247" s="725"/>
      <c r="BK247" s="725"/>
      <c r="BL247" s="725"/>
      <c r="BM247" s="725"/>
      <c r="BN247" s="475"/>
      <c r="BO247" s="475"/>
      <c r="BP247" s="475"/>
      <c r="BY247" s="14">
        <v>9.9860000000000007</v>
      </c>
    </row>
    <row r="248" spans="1:77" s="437" customFormat="1" ht="15" customHeight="1" x14ac:dyDescent="0.2">
      <c r="A248" s="783" t="str">
        <f>'r-in'!A202</f>
        <v>145_U</v>
      </c>
      <c r="B248" s="707" t="s">
        <v>1131</v>
      </c>
      <c r="C248" s="567">
        <f>'r-in'!P202</f>
        <v>5080.93287476569</v>
      </c>
      <c r="D248" s="567">
        <f>'r-in'!Q202</f>
        <v>3.9728041799997444</v>
      </c>
      <c r="E248" s="568">
        <f>'r-in'!R202</f>
        <v>919449.10924592055</v>
      </c>
      <c r="F248" s="567">
        <f>'r-in'!S202</f>
        <v>2.7299623498006027</v>
      </c>
      <c r="G248" s="568">
        <f>'r-in'!T202</f>
        <v>3934.0796029404651</v>
      </c>
      <c r="H248" s="567">
        <f>'r-in'!U202</f>
        <v>4.1778827810719745</v>
      </c>
      <c r="I248" s="568">
        <f>'r-in'!V202</f>
        <v>4556.4550724254359</v>
      </c>
      <c r="J248" s="567">
        <f>'r-in'!W202</f>
        <v>3.1572410140483198</v>
      </c>
      <c r="K248" s="568">
        <f>'r-in'!X202</f>
        <v>4133276.3141919766</v>
      </c>
      <c r="L248" s="567">
        <f>'r-in'!Y202</f>
        <v>2.8092541259468975</v>
      </c>
      <c r="M248" s="568">
        <f>'r-in'!Z202</f>
        <v>3318.1630089615683</v>
      </c>
      <c r="N248" s="567">
        <f>'r-in'!AA202</f>
        <v>7.8910223694893773</v>
      </c>
      <c r="O248" s="568">
        <f>'r-in'!AB202</f>
        <v>880264.48229679489</v>
      </c>
      <c r="P248" s="567">
        <f>'r-in'!AC202</f>
        <v>2.8491672285271838</v>
      </c>
      <c r="Q248" s="568">
        <f>'r-in'!AD202</f>
        <v>4055857.7274621404</v>
      </c>
      <c r="R248" s="567">
        <f>'r-in'!AE202</f>
        <v>2.8622126366444265</v>
      </c>
      <c r="S248" s="588">
        <f>'r-in'!AF202</f>
        <v>4.5820059817514087</v>
      </c>
      <c r="T248" s="588">
        <f>'r-in'!AG202</f>
        <v>2.9178873917544489E-2</v>
      </c>
      <c r="U248" s="588">
        <f>'r-in'!AH202</f>
        <v>4.6065113895887588</v>
      </c>
      <c r="V248" s="588">
        <f>'r-in'!AI202</f>
        <v>2.865870456873898E-2</v>
      </c>
      <c r="W248" s="569">
        <v>145</v>
      </c>
      <c r="X248" s="776">
        <f t="shared" si="107"/>
        <v>0.88199326177421267</v>
      </c>
      <c r="Y248" s="610">
        <f t="shared" si="109"/>
        <v>4.06291200590345</v>
      </c>
      <c r="Z248" s="639">
        <f t="shared" si="110"/>
        <v>2.9178873917544489E-2</v>
      </c>
      <c r="AA248" s="666">
        <f t="shared" si="112"/>
        <v>2.0747332355284254</v>
      </c>
      <c r="AB248" s="667">
        <f t="shared" si="113"/>
        <v>0.29239412297044076</v>
      </c>
      <c r="AC248" s="570">
        <v>1</v>
      </c>
      <c r="AD248" s="787">
        <f t="shared" si="108"/>
        <v>7.1336235325154998E-2</v>
      </c>
      <c r="AE248" s="571">
        <v>285</v>
      </c>
      <c r="AF248" s="571">
        <v>14</v>
      </c>
      <c r="AG248" s="571">
        <v>2.1</v>
      </c>
      <c r="AH248" s="572">
        <f t="shared" si="111"/>
        <v>1.2957127659808083</v>
      </c>
      <c r="AI248" s="742">
        <f t="shared" si="114"/>
        <v>1222.3202164897368</v>
      </c>
      <c r="AJ248" s="742"/>
      <c r="AK248" s="742"/>
      <c r="AL248" s="788">
        <f>AGaverage(AA248:AA262)</f>
        <v>3.2247230552799597</v>
      </c>
      <c r="AM248" s="788">
        <f>STDEV(AA248:AA262)/(COUNT(AA248:AA262)-1)^0.5</f>
        <v>0.17742043059287199</v>
      </c>
      <c r="AN248" s="573"/>
      <c r="AP248" s="240"/>
      <c r="AQ248" s="570"/>
      <c r="AR248" s="570"/>
      <c r="AS248" s="723"/>
      <c r="AT248" s="723"/>
      <c r="AU248" s="723"/>
      <c r="AV248" s="624"/>
      <c r="AW248" s="570"/>
      <c r="AX248" s="769"/>
      <c r="AY248" s="240"/>
      <c r="AZ248" s="570"/>
      <c r="BA248" s="770"/>
      <c r="BB248" s="570"/>
      <c r="BC248" s="723"/>
      <c r="BD248" s="723"/>
      <c r="BE248" s="723"/>
      <c r="BF248" s="624"/>
      <c r="BG248" s="570"/>
      <c r="BH248" s="769"/>
      <c r="BI248" s="769"/>
      <c r="BJ248" s="769"/>
      <c r="BK248" s="769"/>
      <c r="BL248" s="624"/>
      <c r="BM248" s="723"/>
      <c r="BN248" s="574"/>
      <c r="BO248" s="574"/>
      <c r="BP248" s="576"/>
      <c r="BY248" s="437">
        <v>9.9860000000000007</v>
      </c>
    </row>
    <row r="249" spans="1:77" ht="15" customHeight="1" x14ac:dyDescent="0.2">
      <c r="A249" s="782" t="str">
        <f>'r-in'!A203</f>
        <v>146_U</v>
      </c>
      <c r="B249" s="707" t="s">
        <v>1131</v>
      </c>
      <c r="C249" s="162">
        <f>'r-in'!P203</f>
        <v>5080.8064914105589</v>
      </c>
      <c r="D249" s="162">
        <f>'r-in'!Q203</f>
        <v>3.8989397962846444</v>
      </c>
      <c r="E249" s="81">
        <f>'r-in'!R203</f>
        <v>908414.59690333728</v>
      </c>
      <c r="F249" s="162">
        <f>'r-in'!S203</f>
        <v>3.3894934001445325</v>
      </c>
      <c r="G249" s="81">
        <f>'r-in'!T203</f>
        <v>3841.4190854924345</v>
      </c>
      <c r="H249" s="162">
        <f>'r-in'!U203</f>
        <v>4.7508908838518646</v>
      </c>
      <c r="I249" s="81">
        <f>'r-in'!V203</f>
        <v>4514.0110705197958</v>
      </c>
      <c r="J249" s="162">
        <f>'r-in'!W203</f>
        <v>3.3510274303927696</v>
      </c>
      <c r="K249" s="81">
        <f>'r-in'!X203</f>
        <v>4089384.6303522913</v>
      </c>
      <c r="L249" s="162">
        <f>'r-in'!Y203</f>
        <v>3.4969778067984811</v>
      </c>
      <c r="M249" s="81">
        <f>'r-in'!Z203</f>
        <v>3836.2413589224261</v>
      </c>
      <c r="N249" s="162">
        <f>'r-in'!AA203</f>
        <v>5.9733115760433</v>
      </c>
      <c r="O249" s="81">
        <f>'r-in'!AB203</f>
        <v>869473.72723962599</v>
      </c>
      <c r="P249" s="162">
        <f>'r-in'!AC203</f>
        <v>3.5393744028616485</v>
      </c>
      <c r="Q249" s="81">
        <f>'r-in'!AD203</f>
        <v>4012204.5020303898</v>
      </c>
      <c r="R249" s="162">
        <f>'r-in'!AE203</f>
        <v>3.5636311497228812</v>
      </c>
      <c r="S249" s="157">
        <f>'r-in'!AF203</f>
        <v>4.5869202351312435</v>
      </c>
      <c r="T249" s="157">
        <f>'r-in'!AG203</f>
        <v>3.3935498494813997E-2</v>
      </c>
      <c r="U249" s="157">
        <f>'r-in'!AH203</f>
        <v>4.6123258441534922</v>
      </c>
      <c r="V249" s="157">
        <f>'r-in'!AI203</f>
        <v>3.7610488033071938E-2</v>
      </c>
      <c r="W249" s="158">
        <v>146</v>
      </c>
      <c r="X249" s="764">
        <f t="shared" si="107"/>
        <v>0.88201438766335494</v>
      </c>
      <c r="Y249" s="387">
        <f t="shared" si="109"/>
        <v>4.0681377551349094</v>
      </c>
      <c r="Z249" s="640">
        <f t="shared" si="110"/>
        <v>3.3935498494813997E-2</v>
      </c>
      <c r="AA249" s="473">
        <f t="shared" si="112"/>
        <v>3.3636096028879514</v>
      </c>
      <c r="AB249" s="478">
        <f t="shared" si="113"/>
        <v>0.34049644263434153</v>
      </c>
      <c r="AC249" s="108">
        <v>1</v>
      </c>
      <c r="AD249" s="159">
        <f t="shared" si="108"/>
        <v>7.1336235325154998E-2</v>
      </c>
      <c r="AE249" s="160">
        <v>285</v>
      </c>
      <c r="AF249" s="160">
        <v>14</v>
      </c>
      <c r="AG249" s="160">
        <v>2.1</v>
      </c>
      <c r="AH249" s="303">
        <f t="shared" si="111"/>
        <v>1.2825162218969954</v>
      </c>
      <c r="AI249" s="86">
        <f t="shared" si="114"/>
        <v>1045.8686319875844</v>
      </c>
      <c r="AJ249" s="86"/>
      <c r="AK249" s="86"/>
      <c r="AL249" s="86"/>
      <c r="AM249" s="86"/>
      <c r="AN249" s="536"/>
      <c r="AP249" s="53"/>
      <c r="AQ249" s="108"/>
      <c r="AR249" s="110"/>
      <c r="AS249" s="724"/>
      <c r="AT249" s="750"/>
      <c r="AU249" s="750"/>
      <c r="AV249" s="751"/>
      <c r="AW249" s="108"/>
      <c r="AX249" s="724"/>
      <c r="AY249" s="53"/>
      <c r="AZ249" s="108"/>
      <c r="BA249" s="771"/>
      <c r="BB249" s="108"/>
      <c r="BC249" s="724"/>
      <c r="BD249" s="724"/>
      <c r="BE249" s="724"/>
      <c r="BF249" s="634"/>
      <c r="BG249" s="108"/>
      <c r="BH249" s="725"/>
      <c r="BI249" s="725"/>
      <c r="BJ249" s="725"/>
      <c r="BK249" s="725"/>
      <c r="BL249" s="725"/>
      <c r="BM249" s="725"/>
      <c r="BN249" s="475"/>
      <c r="BO249" s="475"/>
      <c r="BP249" s="475"/>
      <c r="BY249" s="14">
        <v>9.9860000000000007</v>
      </c>
    </row>
    <row r="250" spans="1:77" ht="15" customHeight="1" x14ac:dyDescent="0.2">
      <c r="A250" s="782" t="str">
        <f>'r-in'!A204</f>
        <v>147_U</v>
      </c>
      <c r="B250" s="707" t="s">
        <v>1131</v>
      </c>
      <c r="C250" s="162">
        <f>'r-in'!P204</f>
        <v>5160.283180772868</v>
      </c>
      <c r="D250" s="162">
        <f>'r-in'!Q204</f>
        <v>3.4935717124888255</v>
      </c>
      <c r="E250" s="81">
        <f>'r-in'!R204</f>
        <v>847189.93322582263</v>
      </c>
      <c r="F250" s="162">
        <f>'r-in'!S204</f>
        <v>2.8801667844383676</v>
      </c>
      <c r="G250" s="81">
        <f>'r-in'!T204</f>
        <v>3551.5743633183242</v>
      </c>
      <c r="H250" s="162">
        <f>'r-in'!U204</f>
        <v>4.1240338068400888</v>
      </c>
      <c r="I250" s="81">
        <f>'r-in'!V204</f>
        <v>4424.5900577623324</v>
      </c>
      <c r="J250" s="162">
        <f>'r-in'!W204</f>
        <v>2.8007132962929591</v>
      </c>
      <c r="K250" s="81">
        <f>'r-in'!X204</f>
        <v>3803019.246065055</v>
      </c>
      <c r="L250" s="162">
        <f>'r-in'!Y204</f>
        <v>2.9642480788877457</v>
      </c>
      <c r="M250" s="81">
        <f>'r-in'!Z204</f>
        <v>3251.6427788786355</v>
      </c>
      <c r="N250" s="162">
        <f>'r-in'!AA204</f>
        <v>6.8182415262754947</v>
      </c>
      <c r="O250" s="81">
        <f>'r-in'!AB204</f>
        <v>808228.12145010498</v>
      </c>
      <c r="P250" s="162">
        <f>'r-in'!AC204</f>
        <v>3.0171946879285487</v>
      </c>
      <c r="Q250" s="81">
        <f>'r-in'!AD204</f>
        <v>3726927.1723093372</v>
      </c>
      <c r="R250" s="162">
        <f>'r-in'!AE204</f>
        <v>3.0254786838942453</v>
      </c>
      <c r="S250" s="157">
        <f>'r-in'!AF204</f>
        <v>4.5838471566637704</v>
      </c>
      <c r="T250" s="157">
        <f>'r-in'!AG204</f>
        <v>3.2691143236937469E-2</v>
      </c>
      <c r="U250" s="157">
        <f>'r-in'!AH204</f>
        <v>4.6107199297309505</v>
      </c>
      <c r="V250" s="157">
        <f>'r-in'!AI204</f>
        <v>3.4163371898817317E-2</v>
      </c>
      <c r="W250" s="158">
        <v>147</v>
      </c>
      <c r="X250" s="764">
        <f t="shared" si="107"/>
        <v>0.88203535741768946</v>
      </c>
      <c r="Y250" s="387">
        <f t="shared" si="109"/>
        <v>4.066818001173103</v>
      </c>
      <c r="Z250" s="640">
        <f t="shared" si="110"/>
        <v>3.2691143236937469E-2</v>
      </c>
      <c r="AA250" s="473">
        <f t="shared" si="112"/>
        <v>3.0381060976947261</v>
      </c>
      <c r="AB250" s="478">
        <f t="shared" si="113"/>
        <v>0.32790462398546438</v>
      </c>
      <c r="AC250" s="108">
        <v>1</v>
      </c>
      <c r="AD250" s="159">
        <f t="shared" si="108"/>
        <v>7.1336235325154998E-2</v>
      </c>
      <c r="AE250" s="160">
        <v>285</v>
      </c>
      <c r="AF250" s="160">
        <v>14</v>
      </c>
      <c r="AG250" s="160">
        <v>2.1</v>
      </c>
      <c r="AH250" s="303">
        <f t="shared" si="111"/>
        <v>1.1920160088815583</v>
      </c>
      <c r="AI250" s="86">
        <f t="shared" si="114"/>
        <v>1146.1674684925288</v>
      </c>
      <c r="AJ250" s="86"/>
      <c r="AK250" s="86"/>
      <c r="AL250" s="775"/>
      <c r="AM250" s="775"/>
      <c r="AN250" s="536"/>
      <c r="AP250" s="53"/>
      <c r="AQ250" s="108"/>
      <c r="AR250" s="108"/>
      <c r="AS250" s="724"/>
      <c r="AT250" s="724"/>
      <c r="AU250" s="724"/>
      <c r="AV250" s="634"/>
      <c r="AW250" s="108"/>
      <c r="AX250" s="725"/>
      <c r="AY250" s="53"/>
      <c r="AZ250" s="108"/>
      <c r="BA250" s="771"/>
      <c r="BB250" s="108"/>
      <c r="BC250" s="724"/>
      <c r="BD250" s="724"/>
      <c r="BE250" s="724"/>
      <c r="BF250" s="634"/>
      <c r="BG250" s="108"/>
      <c r="BH250" s="725"/>
      <c r="BI250" s="725"/>
      <c r="BJ250" s="725"/>
      <c r="BK250" s="725"/>
      <c r="BL250" s="634"/>
      <c r="BM250" s="724"/>
      <c r="BN250" s="475"/>
      <c r="BO250" s="475"/>
      <c r="BP250" s="10"/>
      <c r="BY250" s="14">
        <v>9.9860000000000007</v>
      </c>
    </row>
    <row r="251" spans="1:77" ht="15" customHeight="1" x14ac:dyDescent="0.2">
      <c r="A251" s="782" t="str">
        <f>'r-in'!A205</f>
        <v>148_U</v>
      </c>
      <c r="B251" s="707" t="s">
        <v>1131</v>
      </c>
      <c r="C251" s="162">
        <f>'r-in'!P205</f>
        <v>5094.0831531907306</v>
      </c>
      <c r="D251" s="162">
        <f>'r-in'!Q205</f>
        <v>3.4792080989708665</v>
      </c>
      <c r="E251" s="81">
        <f>'r-in'!R205</f>
        <v>943842.15791774844</v>
      </c>
      <c r="F251" s="162">
        <f>'r-in'!S205</f>
        <v>3.2427800723143836</v>
      </c>
      <c r="G251" s="81">
        <f>'r-in'!T205</f>
        <v>3499.8181827982289</v>
      </c>
      <c r="H251" s="162">
        <f>'r-in'!U205</f>
        <v>4.7592231523468511</v>
      </c>
      <c r="I251" s="81">
        <f>'r-in'!V205</f>
        <v>4364.9954760123228</v>
      </c>
      <c r="J251" s="162">
        <f>'r-in'!W205</f>
        <v>3.2306402591307499</v>
      </c>
      <c r="K251" s="81">
        <f>'r-in'!X205</f>
        <v>4250245.2223952739</v>
      </c>
      <c r="L251" s="162">
        <f>'r-in'!Y205</f>
        <v>3.3327473127598384</v>
      </c>
      <c r="M251" s="81">
        <f>'r-in'!Z205</f>
        <v>3790.4046907251095</v>
      </c>
      <c r="N251" s="162">
        <f>'r-in'!AA205</f>
        <v>6.2326171345214796</v>
      </c>
      <c r="O251" s="81">
        <f>'r-in'!AB205</f>
        <v>905129.89460718853</v>
      </c>
      <c r="P251" s="162">
        <f>'r-in'!AC205</f>
        <v>3.3773663414392767</v>
      </c>
      <c r="Q251" s="81">
        <f>'r-in'!AD205</f>
        <v>4173791.2442184682</v>
      </c>
      <c r="R251" s="162">
        <f>'r-in'!AE205</f>
        <v>3.3928007217345537</v>
      </c>
      <c r="S251" s="157">
        <f>'r-in'!AF205</f>
        <v>4.5871619368639847</v>
      </c>
      <c r="T251" s="157">
        <f>'r-in'!AG205</f>
        <v>2.4125679598120644E-2</v>
      </c>
      <c r="U251" s="157">
        <f>'r-in'!AH205</f>
        <v>4.6100030034690596</v>
      </c>
      <c r="V251" s="157">
        <f>'r-in'!AI205</f>
        <v>2.9795411406797607E-2</v>
      </c>
      <c r="W251" s="158">
        <v>148</v>
      </c>
      <c r="X251" s="764">
        <f t="shared" si="107"/>
        <v>0.88205616784976992</v>
      </c>
      <c r="Y251" s="387">
        <f t="shared" si="109"/>
        <v>4.0662815830158481</v>
      </c>
      <c r="Z251" s="640">
        <f t="shared" si="110"/>
        <v>2.4125679598120644E-2</v>
      </c>
      <c r="AA251" s="473">
        <f t="shared" si="112"/>
        <v>2.9058041721168326</v>
      </c>
      <c r="AB251" s="478">
        <f t="shared" si="113"/>
        <v>0.24195784098535178</v>
      </c>
      <c r="AC251" s="108">
        <v>1</v>
      </c>
      <c r="AD251" s="159">
        <f t="shared" si="108"/>
        <v>7.1336235325154998E-2</v>
      </c>
      <c r="AE251" s="160">
        <v>285</v>
      </c>
      <c r="AF251" s="160">
        <v>14</v>
      </c>
      <c r="AG251" s="160">
        <v>2.1</v>
      </c>
      <c r="AH251" s="303">
        <f t="shared" si="111"/>
        <v>1.3357062217864077</v>
      </c>
      <c r="AI251" s="86">
        <f t="shared" si="114"/>
        <v>1101.1466016891236</v>
      </c>
      <c r="AJ251" s="86"/>
      <c r="AK251" s="86"/>
      <c r="AL251" s="86"/>
      <c r="AM251" s="86"/>
      <c r="AN251" s="536"/>
      <c r="AP251" s="53"/>
      <c r="AQ251" s="108"/>
      <c r="AR251" s="110"/>
      <c r="AS251" s="724"/>
      <c r="AT251" s="750"/>
      <c r="AU251" s="750"/>
      <c r="AV251" s="751"/>
      <c r="AW251" s="108"/>
      <c r="AX251" s="724"/>
      <c r="AY251" s="53"/>
      <c r="AZ251" s="108"/>
      <c r="BA251" s="771"/>
      <c r="BB251" s="108"/>
      <c r="BC251" s="724"/>
      <c r="BD251" s="724"/>
      <c r="BE251" s="724"/>
      <c r="BF251" s="634"/>
      <c r="BG251" s="108"/>
      <c r="BH251" s="725"/>
      <c r="BI251" s="725"/>
      <c r="BJ251" s="725"/>
      <c r="BK251" s="725"/>
      <c r="BL251" s="725"/>
      <c r="BM251" s="725"/>
      <c r="BN251" s="475"/>
      <c r="BO251" s="475"/>
      <c r="BP251" s="475"/>
      <c r="BY251" s="14">
        <v>9.9860000000000007</v>
      </c>
    </row>
    <row r="252" spans="1:77" ht="15" customHeight="1" x14ac:dyDescent="0.2">
      <c r="A252" s="782" t="str">
        <f>'r-in'!A206</f>
        <v>149_U</v>
      </c>
      <c r="B252" s="707" t="s">
        <v>1131</v>
      </c>
      <c r="C252" s="162">
        <f>'r-in'!P206</f>
        <v>5277.1701915804324</v>
      </c>
      <c r="D252" s="162">
        <f>'r-in'!Q206</f>
        <v>3.7716059444952763</v>
      </c>
      <c r="E252" s="81">
        <f>'r-in'!R206</f>
        <v>897694.27480999322</v>
      </c>
      <c r="F252" s="162">
        <f>'r-in'!S206</f>
        <v>3.059398967300833</v>
      </c>
      <c r="G252" s="81">
        <f>'r-in'!T206</f>
        <v>3783.3491134045044</v>
      </c>
      <c r="H252" s="162">
        <f>'r-in'!U206</f>
        <v>3.6784727657409118</v>
      </c>
      <c r="I252" s="81">
        <f>'r-in'!V206</f>
        <v>4594.0174157032252</v>
      </c>
      <c r="J252" s="162">
        <f>'r-in'!W206</f>
        <v>2.6280944691718204</v>
      </c>
      <c r="K252" s="81">
        <f>'r-in'!X206</f>
        <v>4036128.7157309116</v>
      </c>
      <c r="L252" s="162">
        <f>'r-in'!Y206</f>
        <v>3.1385822700485391</v>
      </c>
      <c r="M252" s="81">
        <f>'r-in'!Z206</f>
        <v>3418.3654841672442</v>
      </c>
      <c r="N252" s="162">
        <f>'r-in'!AA206</f>
        <v>7.0663017665407724</v>
      </c>
      <c r="O252" s="81">
        <f>'r-in'!AB206</f>
        <v>858760.12087551528</v>
      </c>
      <c r="P252" s="162">
        <f>'r-in'!AC206</f>
        <v>3.1949029167917229</v>
      </c>
      <c r="Q252" s="81">
        <f>'r-in'!AD206</f>
        <v>3960289.8066937616</v>
      </c>
      <c r="R252" s="162">
        <f>'r-in'!AE206</f>
        <v>3.1977977550478469</v>
      </c>
      <c r="S252" s="157">
        <f>'r-in'!AF206</f>
        <v>4.5862598748833232</v>
      </c>
      <c r="T252" s="157">
        <f>'r-in'!AG206</f>
        <v>2.3463625547680483E-2</v>
      </c>
      <c r="U252" s="157">
        <f>'r-in'!AH206</f>
        <v>4.6115711489639377</v>
      </c>
      <c r="V252" s="157">
        <f>'r-in'!AI206</f>
        <v>2.2841835625070691E-2</v>
      </c>
      <c r="W252" s="158">
        <v>149</v>
      </c>
      <c r="X252" s="764">
        <f t="shared" si="107"/>
        <v>0.88207681588937981</v>
      </c>
      <c r="Y252" s="387">
        <f t="shared" si="109"/>
        <v>4.0677599953254386</v>
      </c>
      <c r="Z252" s="640">
        <f t="shared" si="110"/>
        <v>2.3463625547680483E-2</v>
      </c>
      <c r="AA252" s="473">
        <f t="shared" si="112"/>
        <v>3.2704390986406651</v>
      </c>
      <c r="AB252" s="478">
        <f t="shared" si="113"/>
        <v>0.23540361906060348</v>
      </c>
      <c r="AC252" s="108">
        <v>1</v>
      </c>
      <c r="AD252" s="159">
        <f t="shared" si="108"/>
        <v>7.1336235325154998E-2</v>
      </c>
      <c r="AE252" s="160">
        <v>285</v>
      </c>
      <c r="AF252" s="160">
        <v>14</v>
      </c>
      <c r="AG252" s="160">
        <v>2.1</v>
      </c>
      <c r="AH252" s="303">
        <f t="shared" si="111"/>
        <v>1.2681013877227449</v>
      </c>
      <c r="AI252" s="86">
        <f t="shared" si="114"/>
        <v>1158.5331717853267</v>
      </c>
      <c r="AJ252" s="86"/>
      <c r="AK252" s="86"/>
      <c r="AL252" s="775"/>
      <c r="AM252" s="775"/>
      <c r="AN252" s="536"/>
      <c r="AP252" s="53"/>
      <c r="AQ252" s="108"/>
      <c r="AR252" s="108"/>
      <c r="AS252" s="724"/>
      <c r="AT252" s="724"/>
      <c r="AU252" s="724"/>
      <c r="AV252" s="634"/>
      <c r="AW252" s="108"/>
      <c r="AX252" s="725"/>
      <c r="AY252" s="53"/>
      <c r="AZ252" s="108"/>
      <c r="BA252" s="771"/>
      <c r="BB252" s="108"/>
      <c r="BC252" s="724"/>
      <c r="BD252" s="724"/>
      <c r="BE252" s="724"/>
      <c r="BF252" s="634"/>
      <c r="BG252" s="108"/>
      <c r="BH252" s="725"/>
      <c r="BI252" s="725"/>
      <c r="BJ252" s="725"/>
      <c r="BK252" s="725"/>
      <c r="BL252" s="634"/>
      <c r="BM252" s="724"/>
      <c r="BN252" s="475"/>
      <c r="BO252" s="475"/>
      <c r="BP252" s="10"/>
      <c r="BY252" s="14">
        <v>9.9860000000000007</v>
      </c>
    </row>
    <row r="253" spans="1:77" ht="15" customHeight="1" x14ac:dyDescent="0.2">
      <c r="A253" s="782" t="str">
        <f>'r-in'!A207</f>
        <v>150_U</v>
      </c>
      <c r="B253" s="707" t="s">
        <v>1131</v>
      </c>
      <c r="C253" s="162">
        <f>'r-in'!P207</f>
        <v>4824.0069826464432</v>
      </c>
      <c r="D253" s="162">
        <f>'r-in'!Q207</f>
        <v>3.3920114336895111</v>
      </c>
      <c r="E253" s="81">
        <f>'r-in'!R207</f>
        <v>943818.04216145689</v>
      </c>
      <c r="F253" s="162">
        <f>'r-in'!S207</f>
        <v>3.7815510516383344</v>
      </c>
      <c r="G253" s="81">
        <f>'r-in'!T207</f>
        <v>3815.6083816086339</v>
      </c>
      <c r="H253" s="162">
        <f>'r-in'!U207</f>
        <v>4.7413204014708912</v>
      </c>
      <c r="I253" s="81">
        <f>'r-in'!V207</f>
        <v>4362.8471332146364</v>
      </c>
      <c r="J253" s="162">
        <f>'r-in'!W207</f>
        <v>3.0581872634924876</v>
      </c>
      <c r="K253" s="81">
        <f>'r-in'!X207</f>
        <v>4248219.7535927845</v>
      </c>
      <c r="L253" s="162">
        <f>'r-in'!Y207</f>
        <v>3.8797420560580167</v>
      </c>
      <c r="M253" s="81">
        <f>'r-in'!Z207</f>
        <v>3298.7270219449406</v>
      </c>
      <c r="N253" s="162">
        <f>'r-in'!AA207</f>
        <v>6.5960033376939569</v>
      </c>
      <c r="O253" s="81">
        <f>'r-in'!AB207</f>
        <v>905416.5199398062</v>
      </c>
      <c r="P253" s="162">
        <f>'r-in'!AC207</f>
        <v>3.9382708668569073</v>
      </c>
      <c r="Q253" s="81">
        <f>'r-in'!AD207</f>
        <v>4173464.2324448274</v>
      </c>
      <c r="R253" s="162">
        <f>'r-in'!AE207</f>
        <v>3.9491253436390124</v>
      </c>
      <c r="S253" s="157">
        <f>'r-in'!AF207</f>
        <v>4.5840736858484687</v>
      </c>
      <c r="T253" s="157">
        <f>'r-in'!AG207</f>
        <v>2.4837744147581251E-2</v>
      </c>
      <c r="U253" s="157">
        <f>'r-in'!AH207</f>
        <v>4.6085948267066836</v>
      </c>
      <c r="V253" s="157">
        <f>'r-in'!AI207</f>
        <v>2.3544495531133035E-2</v>
      </c>
      <c r="W253" s="158">
        <v>150</v>
      </c>
      <c r="X253" s="764">
        <f t="shared" si="107"/>
        <v>0.88209729858357122</v>
      </c>
      <c r="Y253" s="387">
        <f t="shared" si="109"/>
        <v>4.0652290469041867</v>
      </c>
      <c r="Z253" s="640">
        <f t="shared" si="110"/>
        <v>2.4837744147581251E-2</v>
      </c>
      <c r="AA253" s="473">
        <f t="shared" si="112"/>
        <v>2.6462071535791054</v>
      </c>
      <c r="AB253" s="478">
        <f t="shared" si="113"/>
        <v>0.24903469963799552</v>
      </c>
      <c r="AC253" s="108">
        <v>1</v>
      </c>
      <c r="AD253" s="159">
        <f t="shared" si="108"/>
        <v>7.1336235325154998E-2</v>
      </c>
      <c r="AE253" s="160">
        <v>285</v>
      </c>
      <c r="AF253" s="160">
        <v>14</v>
      </c>
      <c r="AG253" s="160">
        <v>2.1</v>
      </c>
      <c r="AH253" s="303">
        <f t="shared" si="111"/>
        <v>1.3371135955441602</v>
      </c>
      <c r="AI253" s="86">
        <f t="shared" si="114"/>
        <v>1265.174173152448</v>
      </c>
      <c r="AJ253" s="86"/>
      <c r="AK253" s="86"/>
      <c r="AL253" s="86"/>
      <c r="AM253" s="86"/>
      <c r="AN253" s="536"/>
      <c r="AP253" s="53"/>
      <c r="AQ253" s="108"/>
      <c r="AR253" s="110"/>
      <c r="AS253" s="724"/>
      <c r="AT253" s="750"/>
      <c r="AU253" s="750"/>
      <c r="AV253" s="751"/>
      <c r="AW253" s="108"/>
      <c r="AX253" s="724"/>
      <c r="AY253" s="53"/>
      <c r="AZ253" s="108"/>
      <c r="BA253" s="771"/>
      <c r="BB253" s="108"/>
      <c r="BC253" s="724"/>
      <c r="BD253" s="724"/>
      <c r="BE253" s="724"/>
      <c r="BF253" s="634"/>
      <c r="BG253" s="108"/>
      <c r="BH253" s="725"/>
      <c r="BI253" s="725"/>
      <c r="BJ253" s="725"/>
      <c r="BK253" s="725"/>
      <c r="BL253" s="725"/>
      <c r="BM253" s="725"/>
      <c r="BN253" s="475"/>
      <c r="BO253" s="475"/>
      <c r="BP253" s="475"/>
      <c r="BY253" s="14">
        <v>9.9860000000000007</v>
      </c>
    </row>
    <row r="254" spans="1:77" ht="15" customHeight="1" x14ac:dyDescent="0.2">
      <c r="A254" s="782" t="str">
        <f>'r-in'!A208</f>
        <v>159_U</v>
      </c>
      <c r="B254" s="707" t="s">
        <v>1131</v>
      </c>
      <c r="C254" s="162">
        <f>'r-in'!P208</f>
        <v>5455.6168637006203</v>
      </c>
      <c r="D254" s="162">
        <f>'r-in'!Q208</f>
        <v>3.2201222052950085</v>
      </c>
      <c r="E254" s="81">
        <f>'r-in'!R208</f>
        <v>917692.32604905334</v>
      </c>
      <c r="F254" s="162">
        <f>'r-in'!S208</f>
        <v>3.9915956794302656</v>
      </c>
      <c r="G254" s="81">
        <f>'r-in'!T208</f>
        <v>4096.9896853387363</v>
      </c>
      <c r="H254" s="162">
        <f>'r-in'!U208</f>
        <v>4.1287163500826942</v>
      </c>
      <c r="I254" s="81">
        <f>'r-in'!V208</f>
        <v>4834.290828180031</v>
      </c>
      <c r="J254" s="162">
        <f>'r-in'!W208</f>
        <v>2.6580860578744487</v>
      </c>
      <c r="K254" s="81">
        <f>'r-in'!X208</f>
        <v>4126943.7634972706</v>
      </c>
      <c r="L254" s="162">
        <f>'r-in'!Y208</f>
        <v>4.1131715031874077</v>
      </c>
      <c r="M254" s="81">
        <f>'r-in'!Z208</f>
        <v>3740.8881894091214</v>
      </c>
      <c r="N254" s="162">
        <f>'r-in'!AA208</f>
        <v>5.8012917967159146</v>
      </c>
      <c r="O254" s="81">
        <f>'r-in'!AB208</f>
        <v>878938.70851273614</v>
      </c>
      <c r="P254" s="162">
        <f>'r-in'!AC208</f>
        <v>4.1681623011830773</v>
      </c>
      <c r="Q254" s="81">
        <f>'r-in'!AD208</f>
        <v>4051848.7106369273</v>
      </c>
      <c r="R254" s="162">
        <f>'r-in'!AE208</f>
        <v>4.1902013073259585</v>
      </c>
      <c r="S254" s="157">
        <f>'r-in'!AF208</f>
        <v>4.5785264414936071</v>
      </c>
      <c r="T254" s="157">
        <f>'r-in'!AG208</f>
        <v>2.3927020720468199E-2</v>
      </c>
      <c r="U254" s="157">
        <f>'r-in'!AH208</f>
        <v>4.6082100168525226</v>
      </c>
      <c r="V254" s="157">
        <f>'r-in'!AI208</f>
        <v>3.2384635734573237E-2</v>
      </c>
      <c r="W254" s="158">
        <v>159</v>
      </c>
      <c r="X254" s="764">
        <f t="shared" si="107"/>
        <v>0.88227377314794253</v>
      </c>
      <c r="Y254" s="387">
        <f t="shared" si="109"/>
        <v>4.0657028390266188</v>
      </c>
      <c r="Z254" s="640">
        <f t="shared" si="110"/>
        <v>2.3927020720468199E-2</v>
      </c>
      <c r="AA254" s="473">
        <f t="shared" si="112"/>
        <v>2.7630630229666941</v>
      </c>
      <c r="AB254" s="478">
        <f t="shared" si="113"/>
        <v>0.23993132586652699</v>
      </c>
      <c r="AC254" s="108">
        <v>1</v>
      </c>
      <c r="AD254" s="159">
        <f t="shared" si="108"/>
        <v>7.1336235325154998E-2</v>
      </c>
      <c r="AE254" s="160">
        <v>285</v>
      </c>
      <c r="AF254" s="160">
        <v>14</v>
      </c>
      <c r="AG254" s="160">
        <v>2.1</v>
      </c>
      <c r="AH254" s="303">
        <f t="shared" si="111"/>
        <v>1.3044879445957427</v>
      </c>
      <c r="AI254" s="86">
        <f t="shared" si="114"/>
        <v>1083.1247836030411</v>
      </c>
      <c r="AJ254" s="86"/>
      <c r="AK254" s="86"/>
      <c r="AL254" s="775"/>
      <c r="AM254" s="775"/>
      <c r="AN254" s="536"/>
      <c r="AP254" s="53"/>
      <c r="AQ254" s="108"/>
      <c r="AR254" s="108"/>
      <c r="AS254" s="724"/>
      <c r="AT254" s="724"/>
      <c r="AU254" s="724"/>
      <c r="AV254" s="634"/>
      <c r="AW254" s="108"/>
      <c r="AX254" s="725"/>
      <c r="AY254" s="53"/>
      <c r="AZ254" s="108"/>
      <c r="BA254" s="771"/>
      <c r="BB254" s="108"/>
      <c r="BC254" s="724"/>
      <c r="BD254" s="724"/>
      <c r="BE254" s="724"/>
      <c r="BF254" s="634"/>
      <c r="BG254" s="108"/>
      <c r="BH254" s="725"/>
      <c r="BI254" s="725"/>
      <c r="BJ254" s="725"/>
      <c r="BK254" s="725"/>
      <c r="BL254" s="634"/>
      <c r="BM254" s="724"/>
      <c r="BN254" s="475"/>
      <c r="BO254" s="475"/>
      <c r="BP254" s="10"/>
      <c r="BY254" s="14">
        <v>9.9860000000000007</v>
      </c>
    </row>
    <row r="255" spans="1:77" ht="15" customHeight="1" x14ac:dyDescent="0.2">
      <c r="A255" s="782" t="str">
        <f>'r-in'!A209</f>
        <v>160_U</v>
      </c>
      <c r="B255" s="707" t="s">
        <v>1131</v>
      </c>
      <c r="C255" s="162">
        <f>'r-in'!P209</f>
        <v>5061.428778454906</v>
      </c>
      <c r="D255" s="162">
        <f>'r-in'!Q209</f>
        <v>4.0749050095365211</v>
      </c>
      <c r="E255" s="81">
        <f>'r-in'!R209</f>
        <v>955507.35744996462</v>
      </c>
      <c r="F255" s="162">
        <f>'r-in'!S209</f>
        <v>3.999107802676519</v>
      </c>
      <c r="G255" s="81">
        <f>'r-in'!T209</f>
        <v>4074.4160299055929</v>
      </c>
      <c r="H255" s="162">
        <f>'r-in'!U209</f>
        <v>4.6120669304476198</v>
      </c>
      <c r="I255" s="81">
        <f>'r-in'!V209</f>
        <v>4610.0490859009569</v>
      </c>
      <c r="J255" s="162">
        <f>'r-in'!W209</f>
        <v>3.0015398289079762</v>
      </c>
      <c r="K255" s="81">
        <f>'r-in'!X209</f>
        <v>4306707.988147038</v>
      </c>
      <c r="L255" s="162">
        <f>'r-in'!Y209</f>
        <v>4.1084520064649404</v>
      </c>
      <c r="M255" s="81">
        <f>'r-in'!Z209</f>
        <v>3271.029752580353</v>
      </c>
      <c r="N255" s="162">
        <f>'r-in'!AA209</f>
        <v>7.9120472679327518</v>
      </c>
      <c r="O255" s="81">
        <f>'r-in'!AB209</f>
        <v>917182.02940694825</v>
      </c>
      <c r="P255" s="162">
        <f>'r-in'!AC209</f>
        <v>4.1633043413736495</v>
      </c>
      <c r="Q255" s="81">
        <f>'r-in'!AD209</f>
        <v>4232267.606034548</v>
      </c>
      <c r="R255" s="162">
        <f>'r-in'!AE209</f>
        <v>4.179402098679514</v>
      </c>
      <c r="S255" s="157">
        <f>'r-in'!AF209</f>
        <v>4.5864983853590111</v>
      </c>
      <c r="T255" s="157">
        <f>'r-in'!AG209</f>
        <v>2.9183684283758608E-2</v>
      </c>
      <c r="U255" s="157">
        <f>'r-in'!AH209</f>
        <v>4.6127369931597766</v>
      </c>
      <c r="V255" s="157">
        <f>'r-in'!AI209</f>
        <v>2.909272829390477E-2</v>
      </c>
      <c r="W255" s="158">
        <v>160</v>
      </c>
      <c r="X255" s="764">
        <f t="shared" si="107"/>
        <v>0.88229246580186871</v>
      </c>
      <c r="Y255" s="387">
        <f t="shared" si="109"/>
        <v>4.0697830957904371</v>
      </c>
      <c r="Z255" s="640">
        <f t="shared" si="110"/>
        <v>2.9183684283758608E-2</v>
      </c>
      <c r="AA255" s="473">
        <f t="shared" si="112"/>
        <v>3.76941565925204</v>
      </c>
      <c r="AB255" s="478">
        <f t="shared" si="113"/>
        <v>0.29293689720288896</v>
      </c>
      <c r="AC255" s="108">
        <v>1</v>
      </c>
      <c r="AD255" s="159">
        <f t="shared" si="108"/>
        <v>7.1336235325154998E-2</v>
      </c>
      <c r="AE255" s="160">
        <v>285</v>
      </c>
      <c r="AF255" s="160">
        <v>14</v>
      </c>
      <c r="AG255" s="160">
        <v>2.1</v>
      </c>
      <c r="AH255" s="303">
        <f t="shared" si="111"/>
        <v>1.3632854188149557</v>
      </c>
      <c r="AI255" s="86">
        <f t="shared" si="114"/>
        <v>1293.8639896796788</v>
      </c>
      <c r="AJ255" s="86"/>
      <c r="AK255" s="86"/>
      <c r="AL255" s="86"/>
      <c r="AM255" s="86"/>
      <c r="AN255" s="536"/>
      <c r="AP255" s="53"/>
      <c r="AQ255" s="108"/>
      <c r="AR255" s="110"/>
      <c r="AS255" s="724"/>
      <c r="AT255" s="750"/>
      <c r="AU255" s="750"/>
      <c r="AV255" s="751"/>
      <c r="AW255" s="108"/>
      <c r="AX255" s="724"/>
      <c r="AY255" s="53"/>
      <c r="AZ255" s="108"/>
      <c r="BA255" s="771"/>
      <c r="BB255" s="108"/>
      <c r="BC255" s="724"/>
      <c r="BD255" s="724"/>
      <c r="BE255" s="724"/>
      <c r="BF255" s="634"/>
      <c r="BG255" s="108"/>
      <c r="BH255" s="725"/>
      <c r="BI255" s="725"/>
      <c r="BJ255" s="725"/>
      <c r="BK255" s="725"/>
      <c r="BL255" s="725"/>
      <c r="BM255" s="725"/>
      <c r="BN255" s="475"/>
      <c r="BO255" s="475"/>
      <c r="BP255" s="475"/>
      <c r="BY255" s="14">
        <v>9.9860000000000007</v>
      </c>
    </row>
    <row r="256" spans="1:77" ht="15" customHeight="1" x14ac:dyDescent="0.2">
      <c r="A256" s="782" t="str">
        <f>'r-in'!A210</f>
        <v>161_U</v>
      </c>
      <c r="B256" s="707" t="s">
        <v>1131</v>
      </c>
      <c r="C256" s="162">
        <f>'r-in'!P210</f>
        <v>4802.5437655163887</v>
      </c>
      <c r="D256" s="162">
        <f>'r-in'!Q210</f>
        <v>3.6080423872935961</v>
      </c>
      <c r="E256" s="81">
        <f>'r-in'!R210</f>
        <v>926759.84652550728</v>
      </c>
      <c r="F256" s="162">
        <f>'r-in'!S210</f>
        <v>2.8954566644454798</v>
      </c>
      <c r="G256" s="81">
        <f>'r-in'!T210</f>
        <v>3892.4461984777131</v>
      </c>
      <c r="H256" s="162">
        <f>'r-in'!U210</f>
        <v>4.1783274275868898</v>
      </c>
      <c r="I256" s="81">
        <f>'r-in'!V210</f>
        <v>4386.3388475882302</v>
      </c>
      <c r="J256" s="162">
        <f>'r-in'!W210</f>
        <v>2.7022327518433955</v>
      </c>
      <c r="K256" s="81">
        <f>'r-in'!X210</f>
        <v>4172238.3534465563</v>
      </c>
      <c r="L256" s="162">
        <f>'r-in'!Y210</f>
        <v>2.9675386935286361</v>
      </c>
      <c r="M256" s="81">
        <f>'r-in'!Z210</f>
        <v>3212.0257584448027</v>
      </c>
      <c r="N256" s="162">
        <f>'r-in'!AA210</f>
        <v>6.2538584498617293</v>
      </c>
      <c r="O256" s="81">
        <f>'r-in'!AB210</f>
        <v>888624.05348451284</v>
      </c>
      <c r="P256" s="162">
        <f>'r-in'!AC210</f>
        <v>3.0166052754854991</v>
      </c>
      <c r="Q256" s="81">
        <f>'r-in'!AD210</f>
        <v>4097924.6829390912</v>
      </c>
      <c r="R256" s="162">
        <f>'r-in'!AE210</f>
        <v>3.0207833257453065</v>
      </c>
      <c r="S256" s="157">
        <f>'r-in'!AF210</f>
        <v>4.5878694464570824</v>
      </c>
      <c r="T256" s="157">
        <f>'r-in'!AG210</f>
        <v>2.3890887052106478E-2</v>
      </c>
      <c r="U256" s="157">
        <f>'r-in'!AH210</f>
        <v>4.6113661766952116</v>
      </c>
      <c r="V256" s="157">
        <f>'r-in'!AI210</f>
        <v>2.4316938903854269E-2</v>
      </c>
      <c r="W256" s="158">
        <v>161</v>
      </c>
      <c r="X256" s="764">
        <f t="shared" ref="X256:X319" si="115">$X$125 * Tb1Prim11B10B/($L$31 + $M$31*Tb1Order + IF($K$31&gt; 1,$N$31*Tb1Order^2) + IF($K$31&gt; 2,$O$31*Tb1Order^3) + IF($K$31&gt; 3,$P$31*Tb1Order^4) + IF($K$31&gt; 4,$Q$31*Tb1Order^5) + IF($K$31&gt; 5,$R$31*Tb1Order^6))</f>
        <v>0.88231096837833889</v>
      </c>
      <c r="Y256" s="387">
        <f t="shared" si="109"/>
        <v>4.0686589569070701</v>
      </c>
      <c r="Z256" s="640">
        <f t="shared" si="110"/>
        <v>2.3890887052106478E-2</v>
      </c>
      <c r="AA256" s="473">
        <f t="shared" si="112"/>
        <v>3.4921585663016952</v>
      </c>
      <c r="AB256" s="478">
        <f t="shared" si="113"/>
        <v>0.23974317817976321</v>
      </c>
      <c r="AC256" s="108">
        <v>1</v>
      </c>
      <c r="AD256" s="159">
        <f t="shared" ref="AD256:AD319" si="116">($AQ$27*$AR$27^2)/ (35*Tb1SpotSize^2)/$AD$127</f>
        <v>7.1336235325154998E-2</v>
      </c>
      <c r="AE256" s="160">
        <v>285</v>
      </c>
      <c r="AF256" s="160">
        <v>14</v>
      </c>
      <c r="AG256" s="160">
        <v>2.1</v>
      </c>
      <c r="AH256" s="303">
        <f t="shared" si="111"/>
        <v>1.3206967104599789</v>
      </c>
      <c r="AI256" s="86">
        <f t="shared" si="114"/>
        <v>1275.8069178508777</v>
      </c>
      <c r="AJ256" s="86"/>
      <c r="AK256" s="86"/>
      <c r="AL256" s="775"/>
      <c r="AM256" s="775"/>
      <c r="AN256" s="536"/>
      <c r="AP256" s="53"/>
      <c r="AQ256" s="108"/>
      <c r="AR256" s="108"/>
      <c r="AS256" s="724"/>
      <c r="AT256" s="724"/>
      <c r="AU256" s="724"/>
      <c r="AV256" s="634"/>
      <c r="AW256" s="108"/>
      <c r="AX256" s="725"/>
      <c r="AY256" s="53"/>
      <c r="AZ256" s="108"/>
      <c r="BA256" s="771"/>
      <c r="BB256" s="108"/>
      <c r="BC256" s="724"/>
      <c r="BD256" s="724"/>
      <c r="BE256" s="724"/>
      <c r="BF256" s="634"/>
      <c r="BG256" s="108"/>
      <c r="BH256" s="725"/>
      <c r="BI256" s="725"/>
      <c r="BJ256" s="725"/>
      <c r="BK256" s="725"/>
      <c r="BL256" s="634"/>
      <c r="BM256" s="724"/>
      <c r="BN256" s="475"/>
      <c r="BO256" s="475"/>
      <c r="BP256" s="10"/>
      <c r="BY256" s="14">
        <v>9.9860000000000007</v>
      </c>
    </row>
    <row r="257" spans="1:77" ht="15" customHeight="1" x14ac:dyDescent="0.2">
      <c r="A257" s="782" t="str">
        <f>'r-in'!A211</f>
        <v>162_U</v>
      </c>
      <c r="B257" s="707" t="s">
        <v>1131</v>
      </c>
      <c r="C257" s="162">
        <f>'r-in'!P211</f>
        <v>4608.6398941791085</v>
      </c>
      <c r="D257" s="162">
        <f>'r-in'!Q211</f>
        <v>3.7922025314686905</v>
      </c>
      <c r="E257" s="81">
        <f>'r-in'!R211</f>
        <v>933586.45066452143</v>
      </c>
      <c r="F257" s="162">
        <f>'r-in'!S211</f>
        <v>2.9214352827094894</v>
      </c>
      <c r="G257" s="81">
        <f>'r-in'!T211</f>
        <v>3199.5647233772515</v>
      </c>
      <c r="H257" s="162">
        <f>'r-in'!U211</f>
        <v>5.2702157699219265</v>
      </c>
      <c r="I257" s="81">
        <f>'r-in'!V211</f>
        <v>3964.2430327234074</v>
      </c>
      <c r="J257" s="162">
        <f>'r-in'!W211</f>
        <v>3.1600829915704418</v>
      </c>
      <c r="K257" s="81">
        <f>'r-in'!X211</f>
        <v>4199907.5152710127</v>
      </c>
      <c r="L257" s="162">
        <f>'r-in'!Y211</f>
        <v>2.9921297108031921</v>
      </c>
      <c r="M257" s="81">
        <f>'r-in'!Z211</f>
        <v>3281.3248938263655</v>
      </c>
      <c r="N257" s="162">
        <f>'r-in'!AA211</f>
        <v>7.7340230698109105</v>
      </c>
      <c r="O257" s="81">
        <f>'r-in'!AB211</f>
        <v>895842.64727704891</v>
      </c>
      <c r="P257" s="162">
        <f>'r-in'!AC211</f>
        <v>3.0418528826014892</v>
      </c>
      <c r="Q257" s="81">
        <f>'r-in'!AD211</f>
        <v>4125484.531771149</v>
      </c>
      <c r="R257" s="162">
        <f>'r-in'!AE211</f>
        <v>3.0468356575741513</v>
      </c>
      <c r="S257" s="157">
        <f>'r-in'!AF211</f>
        <v>4.5830008893334053</v>
      </c>
      <c r="T257" s="157">
        <f>'r-in'!AG211</f>
        <v>2.4474881181654067E-2</v>
      </c>
      <c r="U257" s="157">
        <f>'r-in'!AH211</f>
        <v>4.6048952769242826</v>
      </c>
      <c r="V257" s="157">
        <f>'r-in'!AI211</f>
        <v>2.121233469487319E-2</v>
      </c>
      <c r="W257" s="158">
        <v>162</v>
      </c>
      <c r="X257" s="764">
        <f t="shared" si="115"/>
        <v>0.88232927933448091</v>
      </c>
      <c r="Y257" s="387">
        <f t="shared" si="109"/>
        <v>4.0630339310993575</v>
      </c>
      <c r="Z257" s="640">
        <f t="shared" si="110"/>
        <v>2.4474881181654067E-2</v>
      </c>
      <c r="AA257" s="473">
        <f t="shared" si="112"/>
        <v>2.1048048093124105</v>
      </c>
      <c r="AB257" s="478">
        <f t="shared" si="113"/>
        <v>0.24526396029256325</v>
      </c>
      <c r="AC257" s="108">
        <v>1</v>
      </c>
      <c r="AD257" s="159">
        <f t="shared" si="116"/>
        <v>7.1336235325154998E-2</v>
      </c>
      <c r="AE257" s="160">
        <v>285</v>
      </c>
      <c r="AF257" s="160">
        <v>14</v>
      </c>
      <c r="AG257" s="160">
        <v>2.1</v>
      </c>
      <c r="AH257" s="303">
        <f t="shared" si="111"/>
        <v>1.3302652655297476</v>
      </c>
      <c r="AI257" s="86">
        <f t="shared" si="114"/>
        <v>1257.2618272372308</v>
      </c>
      <c r="AJ257" s="86"/>
      <c r="AK257" s="86"/>
      <c r="AL257" s="86"/>
      <c r="AM257" s="86"/>
      <c r="AN257" s="536"/>
      <c r="AP257" s="53"/>
      <c r="AQ257" s="108"/>
      <c r="AR257" s="110"/>
      <c r="AS257" s="724"/>
      <c r="AT257" s="750"/>
      <c r="AU257" s="750"/>
      <c r="AV257" s="751"/>
      <c r="AW257" s="108"/>
      <c r="AX257" s="724"/>
      <c r="AY257" s="53"/>
      <c r="AZ257" s="108"/>
      <c r="BA257" s="771"/>
      <c r="BB257" s="108"/>
      <c r="BC257" s="724"/>
      <c r="BD257" s="724"/>
      <c r="BE257" s="724"/>
      <c r="BF257" s="634"/>
      <c r="BG257" s="108"/>
      <c r="BH257" s="725"/>
      <c r="BI257" s="725"/>
      <c r="BJ257" s="725"/>
      <c r="BK257" s="725"/>
      <c r="BL257" s="725"/>
      <c r="BM257" s="725"/>
      <c r="BN257" s="475"/>
      <c r="BO257" s="475"/>
      <c r="BP257" s="475"/>
      <c r="BY257" s="14">
        <v>9.9860000000000007</v>
      </c>
    </row>
    <row r="258" spans="1:77" ht="15" customHeight="1" x14ac:dyDescent="0.2">
      <c r="A258" s="782" t="str">
        <f>'r-in'!A212</f>
        <v>163_U</v>
      </c>
      <c r="B258" s="707" t="s">
        <v>1131</v>
      </c>
      <c r="C258" s="162">
        <f>'r-in'!P212</f>
        <v>5239.1323851531897</v>
      </c>
      <c r="D258" s="162">
        <f>'r-in'!Q212</f>
        <v>3.3921408671033859</v>
      </c>
      <c r="E258" s="81">
        <f>'r-in'!R212</f>
        <v>883743.26847572799</v>
      </c>
      <c r="F258" s="162">
        <f>'r-in'!S212</f>
        <v>3.2663514279398371</v>
      </c>
      <c r="G258" s="81">
        <f>'r-in'!T212</f>
        <v>3821.9815061044255</v>
      </c>
      <c r="H258" s="162">
        <f>'r-in'!U212</f>
        <v>3.9405764761241593</v>
      </c>
      <c r="I258" s="81">
        <f>'r-in'!V212</f>
        <v>4591.0423488008109</v>
      </c>
      <c r="J258" s="162">
        <f>'r-in'!W212</f>
        <v>2.6568422941465206</v>
      </c>
      <c r="K258" s="81">
        <f>'r-in'!X212</f>
        <v>3973022.1219913745</v>
      </c>
      <c r="L258" s="162">
        <f>'r-in'!Y212</f>
        <v>3.3540844086547885</v>
      </c>
      <c r="M258" s="81">
        <f>'r-in'!Z212</f>
        <v>3002.436118450355</v>
      </c>
      <c r="N258" s="162">
        <f>'r-in'!AA212</f>
        <v>7.98182056885517</v>
      </c>
      <c r="O258" s="81">
        <f>'r-in'!AB212</f>
        <v>845445.89254311624</v>
      </c>
      <c r="P258" s="162">
        <f>'r-in'!AC212</f>
        <v>3.411656161840475</v>
      </c>
      <c r="Q258" s="81">
        <f>'r-in'!AD212</f>
        <v>3899117.9545357944</v>
      </c>
      <c r="R258" s="162">
        <f>'r-in'!AE212</f>
        <v>3.4180781167555128</v>
      </c>
      <c r="S258" s="157">
        <f>'r-in'!AF212</f>
        <v>4.5864515988817205</v>
      </c>
      <c r="T258" s="157">
        <f>'r-in'!AG212</f>
        <v>1.9262567112404892E-2</v>
      </c>
      <c r="U258" s="157">
        <f>'r-in'!AH212</f>
        <v>4.6114715898804084</v>
      </c>
      <c r="V258" s="157">
        <f>'r-in'!AI212</f>
        <v>2.2915384814301054E-2</v>
      </c>
      <c r="W258" s="158">
        <v>163</v>
      </c>
      <c r="X258" s="764">
        <f t="shared" si="115"/>
        <v>0.88234739724514943</v>
      </c>
      <c r="Y258" s="387">
        <f t="shared" ref="Y258:Y321" si="117">U258*X258</f>
        <v>4.0689199548009292</v>
      </c>
      <c r="Z258" s="640">
        <f t="shared" ref="Z258:Z321" si="118">T258</f>
        <v>1.9262567112404892E-2</v>
      </c>
      <c r="AA258" s="473">
        <f t="shared" si="112"/>
        <v>3.5565309658229793</v>
      </c>
      <c r="AB258" s="478">
        <f t="shared" si="113"/>
        <v>0.19331075028827804</v>
      </c>
      <c r="AC258" s="108">
        <v>1</v>
      </c>
      <c r="AD258" s="159">
        <f t="shared" si="116"/>
        <v>7.1336235325154998E-2</v>
      </c>
      <c r="AE258" s="160">
        <v>285</v>
      </c>
      <c r="AF258" s="160">
        <v>14</v>
      </c>
      <c r="AG258" s="160">
        <v>2.1</v>
      </c>
      <c r="AH258" s="303">
        <f t="shared" ref="AH258:AH321" si="119">Q258*AD258*$AH$18 /($L$33 + $M$33*Tb1Order + IF($K$33&gt; 1,$N$33*Tb1Order^2) + IF($K$33&gt; 2,$O$33*Tb1Order^3) + IF($K$33&gt; 3,$P$33*Tb1Order^4) + IF($K$33&gt; 4,$Q$33*Tb1Order^5) + IF($K$33&gt; 5,$R$33*Tb1Order^6))</f>
        <v>1.2579188105372088</v>
      </c>
      <c r="AI258" s="86">
        <f t="shared" si="114"/>
        <v>1298.6514286099925</v>
      </c>
      <c r="AJ258" s="86"/>
      <c r="AK258" s="86"/>
      <c r="AL258" s="775"/>
      <c r="AM258" s="775"/>
      <c r="AN258" s="536"/>
      <c r="AP258" s="53"/>
      <c r="AQ258" s="108"/>
      <c r="AR258" s="108"/>
      <c r="AS258" s="724"/>
      <c r="AT258" s="724"/>
      <c r="AU258" s="724"/>
      <c r="AV258" s="634"/>
      <c r="AW258" s="108"/>
      <c r="AX258" s="725"/>
      <c r="AY258" s="53"/>
      <c r="AZ258" s="108"/>
      <c r="BA258" s="771"/>
      <c r="BB258" s="108"/>
      <c r="BC258" s="724"/>
      <c r="BD258" s="724"/>
      <c r="BE258" s="724"/>
      <c r="BF258" s="634"/>
      <c r="BG258" s="108"/>
      <c r="BH258" s="725"/>
      <c r="BI258" s="725"/>
      <c r="BJ258" s="725"/>
      <c r="BK258" s="725"/>
      <c r="BL258" s="634"/>
      <c r="BM258" s="724"/>
      <c r="BN258" s="475"/>
      <c r="BO258" s="475"/>
      <c r="BP258" s="10"/>
      <c r="BY258" s="14">
        <v>9.9860000000000007</v>
      </c>
    </row>
    <row r="259" spans="1:77" ht="15" customHeight="1" x14ac:dyDescent="0.2">
      <c r="A259" s="782" t="str">
        <f>'r-in'!A213</f>
        <v>164_U</v>
      </c>
      <c r="B259" s="707" t="s">
        <v>1131</v>
      </c>
      <c r="C259" s="162">
        <f>'r-in'!P213</f>
        <v>5240.8796905922763</v>
      </c>
      <c r="D259" s="162">
        <f>'r-in'!Q213</f>
        <v>3.0821436303661671</v>
      </c>
      <c r="E259" s="81">
        <f>'r-in'!R213</f>
        <v>934815.88902614452</v>
      </c>
      <c r="F259" s="162">
        <f>'r-in'!S213</f>
        <v>4.6053609823923116</v>
      </c>
      <c r="G259" s="81">
        <f>'r-in'!T213</f>
        <v>4324.6583065492296</v>
      </c>
      <c r="H259" s="162">
        <f>'r-in'!U213</f>
        <v>3.4766428150155773</v>
      </c>
      <c r="I259" s="81">
        <f>'r-in'!V213</f>
        <v>4821.8742347371726</v>
      </c>
      <c r="J259" s="162">
        <f>'r-in'!W213</f>
        <v>2.2374678267509585</v>
      </c>
      <c r="K259" s="81">
        <f>'r-in'!X213</f>
        <v>4210787.1309061013</v>
      </c>
      <c r="L259" s="162">
        <f>'r-in'!Y213</f>
        <v>4.7332701823975984</v>
      </c>
      <c r="M259" s="81">
        <f>'r-in'!Z213</f>
        <v>2905.0935775427488</v>
      </c>
      <c r="N259" s="162">
        <f>'r-in'!AA213</f>
        <v>7.6782180427815518</v>
      </c>
      <c r="O259" s="81">
        <f>'r-in'!AB213</f>
        <v>896680.12630301097</v>
      </c>
      <c r="P259" s="162">
        <f>'r-in'!AC213</f>
        <v>4.8019241865928048</v>
      </c>
      <c r="Q259" s="81">
        <f>'r-in'!AD213</f>
        <v>4137813.0768393939</v>
      </c>
      <c r="R259" s="162">
        <f>'r-in'!AE213</f>
        <v>4.8155181511180896</v>
      </c>
      <c r="S259" s="157">
        <f>'r-in'!AF213</f>
        <v>4.5824948820601339</v>
      </c>
      <c r="T259" s="157">
        <f>'r-in'!AG213</f>
        <v>2.722006090679718E-2</v>
      </c>
      <c r="U259" s="157">
        <f>'r-in'!AH213</f>
        <v>4.6134481391304725</v>
      </c>
      <c r="V259" s="157">
        <f>'r-in'!AI213</f>
        <v>2.6188188797679483E-2</v>
      </c>
      <c r="W259" s="158">
        <v>164</v>
      </c>
      <c r="X259" s="764">
        <f t="shared" si="115"/>
        <v>0.8823653208029536</v>
      </c>
      <c r="Y259" s="387">
        <f t="shared" si="117"/>
        <v>4.0707466472916485</v>
      </c>
      <c r="Z259" s="640">
        <f t="shared" si="118"/>
        <v>2.722006090679718E-2</v>
      </c>
      <c r="AA259" s="473">
        <f t="shared" ref="AA259:AA322" si="120">((Y259/AZ$29)-1)*1000</f>
        <v>4.0070655547288503</v>
      </c>
      <c r="AB259" s="478">
        <f t="shared" ref="AB259:AB322" si="121">AA259-(((Y259-(Y259/100*Z259))/AZ$29)-1)*1000</f>
        <v>0.27329133475251233</v>
      </c>
      <c r="AC259" s="108">
        <v>1</v>
      </c>
      <c r="AD259" s="159">
        <f t="shared" si="116"/>
        <v>7.1336235325154998E-2</v>
      </c>
      <c r="AE259" s="160">
        <v>285</v>
      </c>
      <c r="AF259" s="160">
        <v>14</v>
      </c>
      <c r="AG259" s="160">
        <v>2.1</v>
      </c>
      <c r="AH259" s="303">
        <f t="shared" si="119"/>
        <v>1.3356077081592115</v>
      </c>
      <c r="AI259" s="86">
        <f t="shared" ref="AI259:AI322" si="122">Q259/M259</f>
        <v>1424.3303929436006</v>
      </c>
      <c r="AJ259" s="86"/>
      <c r="AK259" s="86"/>
      <c r="AL259" s="86"/>
      <c r="AM259" s="86"/>
      <c r="AN259" s="536"/>
      <c r="AP259" s="53"/>
      <c r="AQ259" s="108"/>
      <c r="AR259" s="110"/>
      <c r="AS259" s="724"/>
      <c r="AT259" s="750"/>
      <c r="AU259" s="750"/>
      <c r="AV259" s="751"/>
      <c r="AW259" s="108"/>
      <c r="AX259" s="724"/>
      <c r="AY259" s="53"/>
      <c r="AZ259" s="108"/>
      <c r="BA259" s="771"/>
      <c r="BB259" s="108"/>
      <c r="BC259" s="724"/>
      <c r="BD259" s="724"/>
      <c r="BE259" s="724"/>
      <c r="BF259" s="634"/>
      <c r="BG259" s="108"/>
      <c r="BH259" s="725"/>
      <c r="BI259" s="725"/>
      <c r="BJ259" s="725"/>
      <c r="BK259" s="725"/>
      <c r="BL259" s="725"/>
      <c r="BM259" s="725"/>
      <c r="BN259" s="475"/>
      <c r="BO259" s="475"/>
      <c r="BP259" s="475"/>
      <c r="BY259" s="14">
        <v>9.9860000000000007</v>
      </c>
    </row>
    <row r="260" spans="1:77" ht="15" customHeight="1" x14ac:dyDescent="0.2">
      <c r="A260" s="782" t="str">
        <f>'r-in'!A214</f>
        <v>165_U</v>
      </c>
      <c r="B260" s="707" t="s">
        <v>1131</v>
      </c>
      <c r="C260" s="162">
        <f>'r-in'!P214</f>
        <v>5230.8759653745929</v>
      </c>
      <c r="D260" s="162">
        <f>'r-in'!Q214</f>
        <v>2.9185191078138235</v>
      </c>
      <c r="E260" s="81">
        <f>'r-in'!R214</f>
        <v>852033.28750410792</v>
      </c>
      <c r="F260" s="162">
        <f>'r-in'!S214</f>
        <v>3.5262594437683452</v>
      </c>
      <c r="G260" s="81">
        <f>'r-in'!T214</f>
        <v>3941.9894669921109</v>
      </c>
      <c r="H260" s="162">
        <f>'r-in'!U214</f>
        <v>4.0697305199289264</v>
      </c>
      <c r="I260" s="81">
        <f>'r-in'!V214</f>
        <v>4641.4436685457013</v>
      </c>
      <c r="J260" s="162">
        <f>'r-in'!W214</f>
        <v>2.5730930413355395</v>
      </c>
      <c r="K260" s="81">
        <f>'r-in'!X214</f>
        <v>3829480.7068772744</v>
      </c>
      <c r="L260" s="162">
        <f>'r-in'!Y214</f>
        <v>3.6335757372721558</v>
      </c>
      <c r="M260" s="81">
        <f>'r-in'!Z214</f>
        <v>2689.4525473401973</v>
      </c>
      <c r="N260" s="162">
        <f>'r-in'!AA214</f>
        <v>8.0841743953412024</v>
      </c>
      <c r="O260" s="81">
        <f>'r-in'!AB214</f>
        <v>814048.0173207979</v>
      </c>
      <c r="P260" s="162">
        <f>'r-in'!AC214</f>
        <v>3.6892342364172293</v>
      </c>
      <c r="Q260" s="81">
        <f>'r-in'!AD214</f>
        <v>3757335.6373052849</v>
      </c>
      <c r="R260" s="162">
        <f>'r-in'!AE214</f>
        <v>3.7026604892822355</v>
      </c>
      <c r="S260" s="157">
        <f>'r-in'!AF214</f>
        <v>4.5860603858969071</v>
      </c>
      <c r="T260" s="157">
        <f>'r-in'!AG214</f>
        <v>3.0506730380902229E-2</v>
      </c>
      <c r="U260" s="157">
        <f>'r-in'!AH214</f>
        <v>4.6147243747327984</v>
      </c>
      <c r="V260" s="157">
        <f>'r-in'!AI214</f>
        <v>3.2336759295084019E-2</v>
      </c>
      <c r="W260" s="158">
        <v>165</v>
      </c>
      <c r="X260" s="764">
        <f t="shared" si="115"/>
        <v>0.88238304881829044</v>
      </c>
      <c r="Y260" s="387">
        <f t="shared" si="117"/>
        <v>4.071954563232806</v>
      </c>
      <c r="Z260" s="640">
        <f t="shared" si="118"/>
        <v>3.0506730380902229E-2</v>
      </c>
      <c r="AA260" s="473">
        <f t="shared" si="120"/>
        <v>4.3049853823666773</v>
      </c>
      <c r="AB260" s="478">
        <f t="shared" si="121"/>
        <v>0.30638061409238304</v>
      </c>
      <c r="AC260" s="108">
        <v>1</v>
      </c>
      <c r="AD260" s="159">
        <f t="shared" si="116"/>
        <v>7.1336235325154998E-2</v>
      </c>
      <c r="AE260" s="160">
        <v>285</v>
      </c>
      <c r="AF260" s="160">
        <v>14</v>
      </c>
      <c r="AG260" s="160">
        <v>2.1</v>
      </c>
      <c r="AH260" s="303">
        <f t="shared" si="119"/>
        <v>1.2134134071870295</v>
      </c>
      <c r="AI260" s="86">
        <f t="shared" si="122"/>
        <v>1397.0633692798178</v>
      </c>
      <c r="AJ260" s="86"/>
      <c r="AK260" s="86"/>
      <c r="AL260" s="775"/>
      <c r="AM260" s="775"/>
      <c r="AN260" s="536"/>
      <c r="AP260" s="53"/>
      <c r="AQ260" s="108"/>
      <c r="AR260" s="108"/>
      <c r="AS260" s="724"/>
      <c r="AT260" s="724"/>
      <c r="AU260" s="724"/>
      <c r="AV260" s="634"/>
      <c r="AW260" s="108"/>
      <c r="AX260" s="725"/>
      <c r="AY260" s="53"/>
      <c r="AZ260" s="108"/>
      <c r="BA260" s="771"/>
      <c r="BB260" s="108"/>
      <c r="BC260" s="724"/>
      <c r="BD260" s="724"/>
      <c r="BE260" s="724"/>
      <c r="BF260" s="634"/>
      <c r="BG260" s="108"/>
      <c r="BH260" s="725"/>
      <c r="BI260" s="725"/>
      <c r="BJ260" s="725"/>
      <c r="BK260" s="725"/>
      <c r="BL260" s="634"/>
      <c r="BM260" s="724"/>
      <c r="BN260" s="475"/>
      <c r="BO260" s="475"/>
      <c r="BP260" s="10"/>
      <c r="BY260" s="14">
        <v>9.9860000000000007</v>
      </c>
    </row>
    <row r="261" spans="1:77" ht="15" customHeight="1" x14ac:dyDescent="0.2">
      <c r="A261" s="782" t="str">
        <f>'r-in'!A215</f>
        <v>166_U</v>
      </c>
      <c r="B261" s="707" t="s">
        <v>1131</v>
      </c>
      <c r="C261" s="162">
        <f>'r-in'!P215</f>
        <v>5065.5367647075527</v>
      </c>
      <c r="D261" s="162">
        <f>'r-in'!Q215</f>
        <v>3.5020465537415135</v>
      </c>
      <c r="E261" s="81">
        <f>'r-in'!R215</f>
        <v>887509.67253912683</v>
      </c>
      <c r="F261" s="162">
        <f>'r-in'!S215</f>
        <v>2.7298972054855208</v>
      </c>
      <c r="G261" s="81">
        <f>'r-in'!T215</f>
        <v>3837.1946051910795</v>
      </c>
      <c r="H261" s="162">
        <f>'r-in'!U215</f>
        <v>4.8741851923249815</v>
      </c>
      <c r="I261" s="81">
        <f>'r-in'!V215</f>
        <v>4503.7925449611375</v>
      </c>
      <c r="J261" s="162">
        <f>'r-in'!W215</f>
        <v>2.8103429689014576</v>
      </c>
      <c r="K261" s="81">
        <f>'r-in'!X215</f>
        <v>3989668.8083397732</v>
      </c>
      <c r="L261" s="162">
        <f>'r-in'!Y215</f>
        <v>2.810418721348336</v>
      </c>
      <c r="M261" s="81">
        <f>'r-in'!Z215</f>
        <v>2966.9523687732881</v>
      </c>
      <c r="N261" s="162">
        <f>'r-in'!AA215</f>
        <v>8.2186993412583806</v>
      </c>
      <c r="O261" s="81">
        <f>'r-in'!AB215</f>
        <v>849710.13014953281</v>
      </c>
      <c r="P261" s="162">
        <f>'r-in'!AC215</f>
        <v>2.8471196675586539</v>
      </c>
      <c r="Q261" s="81">
        <f>'r-in'!AD215</f>
        <v>3917134.5027208664</v>
      </c>
      <c r="R261" s="162">
        <f>'r-in'!AE215</f>
        <v>2.8604261217881661</v>
      </c>
      <c r="S261" s="157">
        <f>'r-in'!AF215</f>
        <v>4.582760615390252</v>
      </c>
      <c r="T261" s="157">
        <f>'r-in'!AG215</f>
        <v>2.6748387003888832E-2</v>
      </c>
      <c r="U261" s="157">
        <f>'r-in'!AH215</f>
        <v>4.6089609573904555</v>
      </c>
      <c r="V261" s="157">
        <f>'r-in'!AI215</f>
        <v>2.8377246742959179E-2</v>
      </c>
      <c r="W261" s="158">
        <v>166</v>
      </c>
      <c r="X261" s="764">
        <f t="shared" si="115"/>
        <v>0.88240058021937018</v>
      </c>
      <c r="Y261" s="387">
        <f t="shared" si="117"/>
        <v>4.0669498230097618</v>
      </c>
      <c r="Z261" s="640">
        <f t="shared" si="118"/>
        <v>2.6748387003888832E-2</v>
      </c>
      <c r="AA261" s="473">
        <f t="shared" si="120"/>
        <v>3.0706185743647474</v>
      </c>
      <c r="AB261" s="478">
        <f t="shared" si="121"/>
        <v>0.26830521097864768</v>
      </c>
      <c r="AC261" s="108">
        <v>1</v>
      </c>
      <c r="AD261" s="159">
        <f t="shared" si="116"/>
        <v>7.1336235325154998E-2</v>
      </c>
      <c r="AE261" s="160">
        <v>285</v>
      </c>
      <c r="AF261" s="160">
        <v>14</v>
      </c>
      <c r="AG261" s="160">
        <v>2.1</v>
      </c>
      <c r="AH261" s="303">
        <f t="shared" si="119"/>
        <v>1.2656599681840965</v>
      </c>
      <c r="AI261" s="86">
        <f t="shared" si="122"/>
        <v>1320.2552706771087</v>
      </c>
      <c r="AJ261" s="86"/>
      <c r="AK261" s="86"/>
      <c r="AL261" s="86"/>
      <c r="AM261" s="86"/>
      <c r="AN261" s="536"/>
      <c r="AP261" s="53"/>
      <c r="AQ261" s="108"/>
      <c r="AR261" s="110"/>
      <c r="AS261" s="724"/>
      <c r="AT261" s="750"/>
      <c r="AU261" s="750"/>
      <c r="AV261" s="751"/>
      <c r="AW261" s="108"/>
      <c r="AX261" s="724"/>
      <c r="AY261" s="53"/>
      <c r="AZ261" s="108"/>
      <c r="BA261" s="771"/>
      <c r="BB261" s="108"/>
      <c r="BC261" s="724"/>
      <c r="BD261" s="724"/>
      <c r="BE261" s="724"/>
      <c r="BF261" s="634"/>
      <c r="BG261" s="108"/>
      <c r="BH261" s="725"/>
      <c r="BI261" s="725"/>
      <c r="BJ261" s="725"/>
      <c r="BK261" s="725"/>
      <c r="BL261" s="725"/>
      <c r="BM261" s="725"/>
      <c r="BN261" s="475"/>
      <c r="BO261" s="475"/>
      <c r="BP261" s="475"/>
      <c r="BY261" s="14">
        <v>9.9860000000000007</v>
      </c>
    </row>
    <row r="262" spans="1:77" ht="15" customHeight="1" x14ac:dyDescent="0.2">
      <c r="A262" s="782" t="str">
        <f>'r-in'!A216</f>
        <v>167_U</v>
      </c>
      <c r="B262" s="707" t="s">
        <v>1131</v>
      </c>
      <c r="C262" s="162">
        <f>'r-in'!P216</f>
        <v>5127.6217522470606</v>
      </c>
      <c r="D262" s="162">
        <f>'r-in'!Q216</f>
        <v>4.0657048439898338</v>
      </c>
      <c r="E262" s="81">
        <f>'r-in'!R216</f>
        <v>954226.3247312</v>
      </c>
      <c r="F262" s="162">
        <f>'r-in'!S216</f>
        <v>3.8574591354509402</v>
      </c>
      <c r="G262" s="81">
        <f>'r-in'!T216</f>
        <v>4042.8691993838834</v>
      </c>
      <c r="H262" s="162">
        <f>'r-in'!U216</f>
        <v>4.4098699825659873</v>
      </c>
      <c r="I262" s="81">
        <f>'r-in'!V216</f>
        <v>4631.5437891932452</v>
      </c>
      <c r="J262" s="162">
        <f>'r-in'!W216</f>
        <v>3.0452353224845616</v>
      </c>
      <c r="K262" s="81">
        <f>'r-in'!X216</f>
        <v>4300209.0275312904</v>
      </c>
      <c r="L262" s="162">
        <f>'r-in'!Y216</f>
        <v>3.9587203443422503</v>
      </c>
      <c r="M262" s="81">
        <f>'r-in'!Z216</f>
        <v>3558.9599842768944</v>
      </c>
      <c r="N262" s="162">
        <f>'r-in'!AA216</f>
        <v>7.0552901499212259</v>
      </c>
      <c r="O262" s="81">
        <f>'r-in'!AB216</f>
        <v>916066.97131679452</v>
      </c>
      <c r="P262" s="162">
        <f>'r-in'!AC216</f>
        <v>4.01667447517152</v>
      </c>
      <c r="Q262" s="81">
        <f>'r-in'!AD216</f>
        <v>4226478.0853952402</v>
      </c>
      <c r="R262" s="162">
        <f>'r-in'!AE216</f>
        <v>4.0262758378801333</v>
      </c>
      <c r="S262" s="157">
        <f>'r-in'!AF216</f>
        <v>4.5866038521542656</v>
      </c>
      <c r="T262" s="157">
        <f>'r-in'!AG216</f>
        <v>2.4799469402543954E-2</v>
      </c>
      <c r="U262" s="157">
        <f>'r-in'!AH216</f>
        <v>4.6131558879004082</v>
      </c>
      <c r="V262" s="157">
        <f>'r-in'!AI216</f>
        <v>2.4955195663598686E-2</v>
      </c>
      <c r="W262" s="158">
        <v>167</v>
      </c>
      <c r="X262" s="764">
        <f t="shared" si="115"/>
        <v>0.88241791405224834</v>
      </c>
      <c r="Y262" s="387">
        <f t="shared" si="117"/>
        <v>4.0707313957989255</v>
      </c>
      <c r="Z262" s="640">
        <f t="shared" si="118"/>
        <v>2.4799469402543954E-2</v>
      </c>
      <c r="AA262" s="473">
        <f t="shared" si="120"/>
        <v>4.0033039336355714</v>
      </c>
      <c r="AB262" s="478">
        <f t="shared" si="121"/>
        <v>0.24898749215962468</v>
      </c>
      <c r="AC262" s="108">
        <v>1</v>
      </c>
      <c r="AD262" s="159">
        <f t="shared" si="116"/>
        <v>7.1336235325154998E-2</v>
      </c>
      <c r="AE262" s="160">
        <v>285</v>
      </c>
      <c r="AF262" s="160">
        <v>14</v>
      </c>
      <c r="AG262" s="160">
        <v>2.1</v>
      </c>
      <c r="AH262" s="303">
        <f t="shared" si="119"/>
        <v>1.3662998906843693</v>
      </c>
      <c r="AI262" s="86">
        <f t="shared" si="122"/>
        <v>1187.5598781855849</v>
      </c>
      <c r="AJ262" s="86"/>
      <c r="AK262" s="86"/>
      <c r="AL262" s="775"/>
      <c r="AM262" s="775"/>
      <c r="AN262" s="536"/>
      <c r="AP262" s="53"/>
      <c r="AQ262" s="108"/>
      <c r="AR262" s="108"/>
      <c r="AS262" s="724"/>
      <c r="AT262" s="724"/>
      <c r="AU262" s="724"/>
      <c r="AV262" s="634"/>
      <c r="AW262" s="108"/>
      <c r="AX262" s="725"/>
      <c r="AY262" s="53"/>
      <c r="AZ262" s="108"/>
      <c r="BA262" s="771"/>
      <c r="BB262" s="108"/>
      <c r="BC262" s="724"/>
      <c r="BD262" s="724"/>
      <c r="BE262" s="724"/>
      <c r="BF262" s="634"/>
      <c r="BG262" s="108"/>
      <c r="BH262" s="725"/>
      <c r="BI262" s="725"/>
      <c r="BJ262" s="725"/>
      <c r="BK262" s="725"/>
      <c r="BL262" s="634"/>
      <c r="BM262" s="724"/>
      <c r="BN262" s="475"/>
      <c r="BO262" s="475"/>
      <c r="BP262" s="10"/>
      <c r="BY262" s="14">
        <v>9.9860000000000007</v>
      </c>
    </row>
    <row r="263" spans="1:77" s="437" customFormat="1" ht="15" customHeight="1" x14ac:dyDescent="0.15">
      <c r="A263" s="783" t="str">
        <f>'r-in'!A217</f>
        <v>168_U</v>
      </c>
      <c r="B263" s="258" t="s">
        <v>544</v>
      </c>
      <c r="C263" s="567">
        <f>'r-in'!P217</f>
        <v>38994.912309546991</v>
      </c>
      <c r="D263" s="567">
        <f>'r-in'!Q217</f>
        <v>0.58629264371996415</v>
      </c>
      <c r="E263" s="568">
        <f>'r-in'!R217</f>
        <v>1855693.9043287777</v>
      </c>
      <c r="F263" s="567">
        <f>'r-in'!S217</f>
        <v>2.7615632393330856</v>
      </c>
      <c r="G263" s="568">
        <f>'r-in'!T217</f>
        <v>26847.624191578936</v>
      </c>
      <c r="H263" s="567">
        <f>'r-in'!U217</f>
        <v>0.7620784273459319</v>
      </c>
      <c r="I263" s="568">
        <f>'r-in'!V217</f>
        <v>33439.726539037481</v>
      </c>
      <c r="J263" s="567">
        <f>'r-in'!W217</f>
        <v>0.56084928708460913</v>
      </c>
      <c r="K263" s="568">
        <f>'r-in'!X217</f>
        <v>8337383.6218286054</v>
      </c>
      <c r="L263" s="567">
        <f>'r-in'!Y217</f>
        <v>2.8314050695695658</v>
      </c>
      <c r="M263" s="568">
        <f>'r-in'!Z217</f>
        <v>17014.356500645845</v>
      </c>
      <c r="N263" s="567">
        <f>'r-in'!AA217</f>
        <v>1.3447470236516965</v>
      </c>
      <c r="O263" s="568">
        <f>'r-in'!AB217</f>
        <v>1788552.3514977992</v>
      </c>
      <c r="P263" s="567">
        <f>'r-in'!AC217</f>
        <v>2.8588740003125124</v>
      </c>
      <c r="Q263" s="568">
        <f>'r-in'!AD217</f>
        <v>8249268.2957485123</v>
      </c>
      <c r="R263" s="567">
        <f>'r-in'!AE217</f>
        <v>2.8608325909071688</v>
      </c>
      <c r="S263" s="588">
        <f>'r-in'!AF217</f>
        <v>4.5203245604602991</v>
      </c>
      <c r="T263" s="588">
        <f>'r-in'!AG217</f>
        <v>2.3968158725073425E-2</v>
      </c>
      <c r="U263" s="588">
        <f>'r-in'!AH217</f>
        <v>4.6122725933282451</v>
      </c>
      <c r="V263" s="588">
        <f>'r-in'!AI217</f>
        <v>1.6797271038817545E-2</v>
      </c>
      <c r="W263" s="569">
        <v>168</v>
      </c>
      <c r="X263" s="776">
        <f t="shared" si="115"/>
        <v>0.88243504948084994</v>
      </c>
      <c r="Y263" s="610">
        <f t="shared" si="117"/>
        <v>4.0700309941127779</v>
      </c>
      <c r="Z263" s="639">
        <f t="shared" si="118"/>
        <v>2.3968158725073425E-2</v>
      </c>
      <c r="AA263" s="666">
        <f t="shared" si="120"/>
        <v>3.8305571865280275</v>
      </c>
      <c r="AB263" s="667">
        <f t="shared" si="121"/>
        <v>0.240599701277322</v>
      </c>
      <c r="AC263" s="570">
        <v>1</v>
      </c>
      <c r="AD263" s="787">
        <f t="shared" si="116"/>
        <v>7.1336235325154998E-2</v>
      </c>
      <c r="AE263" s="571">
        <v>285</v>
      </c>
      <c r="AF263" s="571">
        <v>14</v>
      </c>
      <c r="AG263" s="571">
        <v>2.1</v>
      </c>
      <c r="AH263" s="572">
        <f t="shared" si="119"/>
        <v>2.6680923638486522</v>
      </c>
      <c r="AI263" s="742">
        <f t="shared" si="122"/>
        <v>484.84162744770157</v>
      </c>
      <c r="AJ263" s="742"/>
      <c r="AK263" s="742"/>
      <c r="AL263" s="788">
        <f>AGaverage(AA263:AA277)</f>
        <v>10.347985220963116</v>
      </c>
      <c r="AM263" s="788">
        <f>STDEV(AA263:AA277)/(COUNT(AA263:AA277)-1)^0.5</f>
        <v>1.6936878717513153</v>
      </c>
      <c r="AN263" s="573"/>
      <c r="AP263" s="240"/>
      <c r="AQ263" s="570"/>
      <c r="AR263" s="241"/>
      <c r="AS263" s="723"/>
      <c r="AT263" s="777"/>
      <c r="AU263" s="777"/>
      <c r="AV263" s="778"/>
      <c r="AW263" s="570"/>
      <c r="AX263" s="723"/>
      <c r="AY263" s="240"/>
      <c r="AZ263" s="570"/>
      <c r="BA263" s="770"/>
      <c r="BB263" s="570"/>
      <c r="BC263" s="723"/>
      <c r="BD263" s="723"/>
      <c r="BE263" s="723"/>
      <c r="BF263" s="624"/>
      <c r="BG263" s="570"/>
      <c r="BH263" s="769"/>
      <c r="BI263" s="769"/>
      <c r="BJ263" s="769"/>
      <c r="BK263" s="769"/>
      <c r="BL263" s="769"/>
      <c r="BM263" s="769"/>
      <c r="BN263" s="574"/>
      <c r="BO263" s="574"/>
      <c r="BP263" s="574"/>
      <c r="BY263" s="437">
        <v>9.9860000000000007</v>
      </c>
    </row>
    <row r="264" spans="1:77" ht="15" customHeight="1" x14ac:dyDescent="0.15">
      <c r="A264" s="782" t="str">
        <f>'r-in'!A218</f>
        <v>169_U</v>
      </c>
      <c r="B264" s="258" t="s">
        <v>544</v>
      </c>
      <c r="C264" s="162">
        <f>'r-in'!P218</f>
        <v>39102.154310095451</v>
      </c>
      <c r="D264" s="162">
        <f>'r-in'!Q218</f>
        <v>0.56881574897061693</v>
      </c>
      <c r="E264" s="81">
        <f>'r-in'!R218</f>
        <v>1408366.4849528531</v>
      </c>
      <c r="F264" s="162">
        <f>'r-in'!S218</f>
        <v>2.148455606526873</v>
      </c>
      <c r="G264" s="81">
        <f>'r-in'!T218</f>
        <v>27650.342652964238</v>
      </c>
      <c r="H264" s="162">
        <f>'r-in'!U218</f>
        <v>0.68056883797114764</v>
      </c>
      <c r="I264" s="81">
        <f>'r-in'!V218</f>
        <v>33865.023145802959</v>
      </c>
      <c r="J264" s="162">
        <f>'r-in'!W218</f>
        <v>0.49043709126661078</v>
      </c>
      <c r="K264" s="81">
        <f>'r-in'!X218</f>
        <v>6287520.1980840405</v>
      </c>
      <c r="L264" s="162">
        <f>'r-in'!Y218</f>
        <v>2.1948482990246512</v>
      </c>
      <c r="M264" s="81">
        <f>'r-in'!Z218</f>
        <v>18305.309592891845</v>
      </c>
      <c r="N264" s="162">
        <f>'r-in'!AA218</f>
        <v>1.4169813052526075</v>
      </c>
      <c r="O264" s="81">
        <f>'r-in'!AB218</f>
        <v>1342890.9593337581</v>
      </c>
      <c r="P264" s="162">
        <f>'r-in'!AC218</f>
        <v>2.2456577208612369</v>
      </c>
      <c r="Q264" s="81">
        <f>'r-in'!AD218</f>
        <v>6204210.9896382652</v>
      </c>
      <c r="R264" s="162">
        <f>'r-in'!AE218</f>
        <v>2.2231329821485861</v>
      </c>
      <c r="S264" s="157">
        <f>'r-in'!AF218</f>
        <v>4.5038152316029283</v>
      </c>
      <c r="T264" s="157">
        <f>'r-in'!AG218</f>
        <v>2.5021830386518847E-2</v>
      </c>
      <c r="U264" s="157">
        <f>'r-in'!AH218</f>
        <v>4.6221876512627951</v>
      </c>
      <c r="V264" s="157">
        <f>'r-in'!AI218</f>
        <v>3.3099565394023582E-2</v>
      </c>
      <c r="W264" s="158">
        <v>169</v>
      </c>
      <c r="X264" s="764">
        <f t="shared" si="115"/>
        <v>0.88245198578699968</v>
      </c>
      <c r="Y264" s="387">
        <f t="shared" si="117"/>
        <v>4.0788586715370014</v>
      </c>
      <c r="Z264" s="640">
        <f t="shared" si="118"/>
        <v>2.5021830386518847E-2</v>
      </c>
      <c r="AA264" s="473">
        <f t="shared" si="120"/>
        <v>6.0078114532005067</v>
      </c>
      <c r="AB264" s="478">
        <f t="shared" si="121"/>
        <v>0.25172156825692404</v>
      </c>
      <c r="AC264" s="108">
        <v>1</v>
      </c>
      <c r="AD264" s="159">
        <f t="shared" si="116"/>
        <v>7.1336235325154998E-2</v>
      </c>
      <c r="AE264" s="160">
        <v>285</v>
      </c>
      <c r="AF264" s="160">
        <v>14</v>
      </c>
      <c r="AG264" s="160">
        <v>2.1</v>
      </c>
      <c r="AH264" s="303">
        <f t="shared" si="119"/>
        <v>2.0076557756156288</v>
      </c>
      <c r="AI264" s="86">
        <f t="shared" si="122"/>
        <v>338.92958532902549</v>
      </c>
      <c r="AJ264" s="86"/>
      <c r="AK264" s="86"/>
      <c r="AL264" s="775"/>
      <c r="AM264" s="775"/>
      <c r="AN264" s="536"/>
      <c r="AP264" s="53"/>
      <c r="AQ264" s="108"/>
      <c r="AR264" s="108"/>
      <c r="AS264" s="724"/>
      <c r="AT264" s="724"/>
      <c r="AU264" s="724"/>
      <c r="AV264" s="634"/>
      <c r="AW264" s="108"/>
      <c r="AX264" s="725"/>
      <c r="AY264" s="53"/>
      <c r="AZ264" s="108"/>
      <c r="BA264" s="771"/>
      <c r="BB264" s="108"/>
      <c r="BC264" s="724"/>
      <c r="BD264" s="724"/>
      <c r="BE264" s="724"/>
      <c r="BF264" s="634"/>
      <c r="BG264" s="108"/>
      <c r="BH264" s="725"/>
      <c r="BI264" s="725"/>
      <c r="BJ264" s="725"/>
      <c r="BK264" s="725"/>
      <c r="BL264" s="634"/>
      <c r="BM264" s="724"/>
      <c r="BN264" s="475"/>
      <c r="BO264" s="475"/>
      <c r="BP264" s="10"/>
      <c r="BY264" s="14">
        <v>9.9860000000000007</v>
      </c>
    </row>
    <row r="265" spans="1:77" ht="15" customHeight="1" x14ac:dyDescent="0.15">
      <c r="A265" s="782" t="str">
        <f>'r-in'!A219</f>
        <v>170_U</v>
      </c>
      <c r="B265" s="258" t="s">
        <v>544</v>
      </c>
      <c r="C265" s="162">
        <f>'r-in'!P219</f>
        <v>36747.193123487748</v>
      </c>
      <c r="D265" s="162">
        <f>'r-in'!Q219</f>
        <v>0.57393163092307309</v>
      </c>
      <c r="E265" s="81">
        <f>'r-in'!R219</f>
        <v>1778620.5576455528</v>
      </c>
      <c r="F265" s="162">
        <f>'r-in'!S219</f>
        <v>2.6972046946563939</v>
      </c>
      <c r="G265" s="81">
        <f>'r-in'!T219</f>
        <v>25690.641300962488</v>
      </c>
      <c r="H265" s="162">
        <f>'r-in'!U219</f>
        <v>0.74807804484373219</v>
      </c>
      <c r="I265" s="81">
        <f>'r-in'!V219</f>
        <v>31690.8217952618</v>
      </c>
      <c r="J265" s="162">
        <f>'r-in'!W219</f>
        <v>0.51094760193735322</v>
      </c>
      <c r="K265" s="81">
        <f>'r-in'!X219</f>
        <v>7993841.0866542449</v>
      </c>
      <c r="L265" s="162">
        <f>'r-in'!Y219</f>
        <v>2.7501749355890555</v>
      </c>
      <c r="M265" s="81">
        <f>'r-in'!Z219</f>
        <v>17700.047359429205</v>
      </c>
      <c r="N265" s="162">
        <f>'r-in'!AA219</f>
        <v>1.5118420094019474</v>
      </c>
      <c r="O265" s="81">
        <f>'r-in'!AB219</f>
        <v>1715306.3382761723</v>
      </c>
      <c r="P265" s="162">
        <f>'r-in'!AC219</f>
        <v>2.7916101240337983</v>
      </c>
      <c r="Q265" s="81">
        <f>'r-in'!AD219</f>
        <v>7911887.6276953127</v>
      </c>
      <c r="R265" s="162">
        <f>'r-in'!AE219</f>
        <v>2.7789705473501503</v>
      </c>
      <c r="S265" s="157">
        <f>'r-in'!AF219</f>
        <v>4.5268287175538005</v>
      </c>
      <c r="T265" s="157">
        <f>'r-in'!AG219</f>
        <v>2.7269045074772267E-2</v>
      </c>
      <c r="U265" s="157">
        <f>'r-in'!AH219</f>
        <v>4.6141421562290645</v>
      </c>
      <c r="V265" s="157">
        <f>'r-in'!AI219</f>
        <v>2.4570871020617908E-2</v>
      </c>
      <c r="W265" s="158">
        <v>170</v>
      </c>
      <c r="X265" s="764">
        <f t="shared" si="115"/>
        <v>0.88246872237044538</v>
      </c>
      <c r="Y265" s="387">
        <f t="shared" si="117"/>
        <v>4.0718361334430746</v>
      </c>
      <c r="Z265" s="640">
        <f t="shared" si="118"/>
        <v>2.7269045074772267E-2</v>
      </c>
      <c r="AA265" s="473">
        <f t="shared" si="120"/>
        <v>4.2757759139411267</v>
      </c>
      <c r="AB265" s="478">
        <f t="shared" si="121"/>
        <v>0.27385641400901051</v>
      </c>
      <c r="AC265" s="108">
        <v>1</v>
      </c>
      <c r="AD265" s="159">
        <f t="shared" si="116"/>
        <v>7.1336235325154998E-2</v>
      </c>
      <c r="AE265" s="160">
        <v>285</v>
      </c>
      <c r="AF265" s="160">
        <v>14</v>
      </c>
      <c r="AG265" s="160">
        <v>2.1</v>
      </c>
      <c r="AH265" s="303">
        <f t="shared" si="119"/>
        <v>2.5615296500027243</v>
      </c>
      <c r="AI265" s="86">
        <f t="shared" si="122"/>
        <v>446.99810497854264</v>
      </c>
      <c r="AJ265" s="86"/>
      <c r="AK265" s="86"/>
      <c r="AL265" s="86"/>
      <c r="AM265" s="86"/>
      <c r="AN265" s="536"/>
      <c r="AP265" s="53"/>
      <c r="AQ265" s="108"/>
      <c r="AR265" s="110"/>
      <c r="AS265" s="724"/>
      <c r="AT265" s="750"/>
      <c r="AU265" s="750"/>
      <c r="AV265" s="751"/>
      <c r="AW265" s="108"/>
      <c r="AX265" s="724"/>
      <c r="AY265" s="53"/>
      <c r="AZ265" s="108"/>
      <c r="BA265" s="771"/>
      <c r="BB265" s="108"/>
      <c r="BC265" s="724"/>
      <c r="BD265" s="724"/>
      <c r="BE265" s="724"/>
      <c r="BF265" s="634"/>
      <c r="BG265" s="108"/>
      <c r="BH265" s="725"/>
      <c r="BI265" s="725"/>
      <c r="BJ265" s="725"/>
      <c r="BK265" s="725"/>
      <c r="BL265" s="725"/>
      <c r="BM265" s="725"/>
      <c r="BN265" s="475"/>
      <c r="BO265" s="475"/>
      <c r="BP265" s="475"/>
      <c r="BY265" s="14">
        <v>9.9860000000000007</v>
      </c>
    </row>
    <row r="266" spans="1:77" ht="15" customHeight="1" x14ac:dyDescent="0.15">
      <c r="A266" s="782" t="str">
        <f>'r-in'!A220</f>
        <v>171_U</v>
      </c>
      <c r="B266" s="258" t="s">
        <v>544</v>
      </c>
      <c r="C266" s="162">
        <f>'r-in'!P220</f>
        <v>37072.855813607042</v>
      </c>
      <c r="D266" s="162">
        <f>'r-in'!Q220</f>
        <v>0.65045351886703651</v>
      </c>
      <c r="E266" s="81">
        <f>'r-in'!R220</f>
        <v>1669492.662403818</v>
      </c>
      <c r="F266" s="162">
        <f>'r-in'!S220</f>
        <v>5.7549893949493578</v>
      </c>
      <c r="G266" s="81">
        <f>'r-in'!T220</f>
        <v>25881.637451599498</v>
      </c>
      <c r="H266" s="162">
        <f>'r-in'!U220</f>
        <v>0.82037076057037606</v>
      </c>
      <c r="I266" s="81">
        <f>'r-in'!V220</f>
        <v>31954.898916929051</v>
      </c>
      <c r="J266" s="162">
        <f>'r-in'!W220</f>
        <v>0.60934218245928462</v>
      </c>
      <c r="K266" s="81">
        <f>'r-in'!X220</f>
        <v>7498659.7956668902</v>
      </c>
      <c r="L266" s="162">
        <f>'r-in'!Y220</f>
        <v>5.9006062449351129</v>
      </c>
      <c r="M266" s="81">
        <f>'r-in'!Z220</f>
        <v>16609.333793195783</v>
      </c>
      <c r="N266" s="162">
        <f>'r-in'!AA220</f>
        <v>1.498604685145817</v>
      </c>
      <c r="O266" s="81">
        <f>'r-in'!AB220</f>
        <v>1606066.7258516927</v>
      </c>
      <c r="P266" s="162">
        <f>'r-in'!AC220</f>
        <v>5.9737196612986461</v>
      </c>
      <c r="Q266" s="81">
        <f>'r-in'!AD220</f>
        <v>7418133.9337253757</v>
      </c>
      <c r="R266" s="162">
        <f>'r-in'!AE220</f>
        <v>5.9630262847640418</v>
      </c>
      <c r="S266" s="157">
        <f>'r-in'!AF220</f>
        <v>4.5297469944985762</v>
      </c>
      <c r="T266" s="157">
        <f>'r-in'!AG220</f>
        <v>8.4276803675155679E-2</v>
      </c>
      <c r="U266" s="157">
        <f>'r-in'!AH220</f>
        <v>4.6209297366291464</v>
      </c>
      <c r="V266" s="157">
        <f>'r-in'!AI220</f>
        <v>2.6571557089605593E-2</v>
      </c>
      <c r="W266" s="158">
        <v>171</v>
      </c>
      <c r="X266" s="764">
        <f t="shared" si="115"/>
        <v>0.88248525874888428</v>
      </c>
      <c r="Y266" s="387">
        <f t="shared" si="117"/>
        <v>4.0779023742895859</v>
      </c>
      <c r="Z266" s="640">
        <f t="shared" si="118"/>
        <v>8.4276803675155679E-2</v>
      </c>
      <c r="AA266" s="473">
        <f t="shared" si="120"/>
        <v>5.7719507435161077</v>
      </c>
      <c r="AB266" s="478">
        <f t="shared" si="121"/>
        <v>0.84763245234786844</v>
      </c>
      <c r="AC266" s="108">
        <v>1</v>
      </c>
      <c r="AD266" s="159">
        <f t="shared" si="116"/>
        <v>7.1336235325154998E-2</v>
      </c>
      <c r="AE266" s="160">
        <v>285</v>
      </c>
      <c r="AF266" s="160">
        <v>14</v>
      </c>
      <c r="AG266" s="160">
        <v>2.1</v>
      </c>
      <c r="AH266" s="303">
        <f t="shared" si="119"/>
        <v>2.4028680766006496</v>
      </c>
      <c r="AI266" s="86">
        <f t="shared" si="122"/>
        <v>446.62441167654208</v>
      </c>
      <c r="AJ266" s="86"/>
      <c r="AK266" s="86"/>
      <c r="AL266" s="775"/>
      <c r="AM266" s="775"/>
      <c r="AN266" s="536"/>
      <c r="AP266" s="53"/>
      <c r="AQ266" s="108"/>
      <c r="AR266" s="108"/>
      <c r="AS266" s="724"/>
      <c r="AT266" s="724"/>
      <c r="AU266" s="724"/>
      <c r="AV266" s="634"/>
      <c r="AW266" s="108"/>
      <c r="AX266" s="725"/>
      <c r="AY266" s="53"/>
      <c r="AZ266" s="108"/>
      <c r="BA266" s="771"/>
      <c r="BB266" s="108"/>
      <c r="BC266" s="724"/>
      <c r="BD266" s="724"/>
      <c r="BE266" s="724"/>
      <c r="BF266" s="634"/>
      <c r="BG266" s="108"/>
      <c r="BH266" s="725"/>
      <c r="BI266" s="725"/>
      <c r="BJ266" s="725"/>
      <c r="BK266" s="725"/>
      <c r="BL266" s="634"/>
      <c r="BM266" s="724"/>
      <c r="BN266" s="475"/>
      <c r="BO266" s="475"/>
      <c r="BP266" s="10"/>
      <c r="BY266" s="14">
        <v>9.9860000000000007</v>
      </c>
    </row>
    <row r="267" spans="1:77" ht="15" customHeight="1" x14ac:dyDescent="0.15">
      <c r="A267" s="782" t="str">
        <f>'r-in'!A221</f>
        <v>172_U</v>
      </c>
      <c r="B267" s="258" t="s">
        <v>544</v>
      </c>
      <c r="C267" s="162">
        <f>'r-in'!P221</f>
        <v>36705.258188655192</v>
      </c>
      <c r="D267" s="162">
        <f>'r-in'!Q221</f>
        <v>0.85561864327800252</v>
      </c>
      <c r="E267" s="81">
        <f>'r-in'!R221</f>
        <v>542153.813016759</v>
      </c>
      <c r="F267" s="162">
        <f>'r-in'!S221</f>
        <v>5.1768279322709434</v>
      </c>
      <c r="G267" s="81">
        <f>'r-in'!T221</f>
        <v>25891.154012025574</v>
      </c>
      <c r="H267" s="162">
        <f>'r-in'!U221</f>
        <v>1.029813784651922</v>
      </c>
      <c r="I267" s="81">
        <f>'r-in'!V221</f>
        <v>31759.762777711596</v>
      </c>
      <c r="J267" s="162">
        <f>'r-in'!W221</f>
        <v>0.8053040787154363</v>
      </c>
      <c r="K267" s="81">
        <f>'r-in'!X221</f>
        <v>2285768.1216888558</v>
      </c>
      <c r="L267" s="162">
        <f>'r-in'!Y221</f>
        <v>5.668499547589902</v>
      </c>
      <c r="M267" s="81">
        <f>'r-in'!Z221</f>
        <v>16387.198121481102</v>
      </c>
      <c r="N267" s="162">
        <f>'r-in'!AA221</f>
        <v>1.6558353365299912</v>
      </c>
      <c r="O267" s="81">
        <f>'r-in'!AB221</f>
        <v>479344.86141610862</v>
      </c>
      <c r="P267" s="162">
        <f>'r-in'!AC221</f>
        <v>5.8139723887442969</v>
      </c>
      <c r="Q267" s="81">
        <f>'r-in'!AD221</f>
        <v>2206041.9307199502</v>
      </c>
      <c r="R267" s="162">
        <f>'r-in'!AE221</f>
        <v>5.8685590694899652</v>
      </c>
      <c r="S267" s="157">
        <f>'r-in'!AF221</f>
        <v>4.2331587653870875</v>
      </c>
      <c r="T267" s="157">
        <f>'r-in'!AG221</f>
        <v>0.2335825930002699</v>
      </c>
      <c r="U267" s="157">
        <f>'r-in'!AH221</f>
        <v>4.5958187935491583</v>
      </c>
      <c r="V267" s="157">
        <f>'r-in'!AI221</f>
        <v>6.5291176773750334E-2</v>
      </c>
      <c r="W267" s="158">
        <v>172</v>
      </c>
      <c r="X267" s="764">
        <f t="shared" si="115"/>
        <v>0.8825015945579876</v>
      </c>
      <c r="Y267" s="387">
        <f t="shared" si="117"/>
        <v>4.0558174136066993</v>
      </c>
      <c r="Z267" s="640">
        <f t="shared" si="118"/>
        <v>0.2335825930002699</v>
      </c>
      <c r="AA267" s="473">
        <f t="shared" si="120"/>
        <v>0.32492628109492827</v>
      </c>
      <c r="AB267" s="478">
        <f t="shared" si="121"/>
        <v>2.33658490123545</v>
      </c>
      <c r="AC267" s="108">
        <v>1</v>
      </c>
      <c r="AD267" s="159">
        <f t="shared" si="116"/>
        <v>7.1336235325154998E-2</v>
      </c>
      <c r="AE267" s="160">
        <v>285</v>
      </c>
      <c r="AF267" s="160">
        <v>14</v>
      </c>
      <c r="AG267" s="160">
        <v>2.1</v>
      </c>
      <c r="AH267" s="303">
        <f t="shared" si="119"/>
        <v>0.71493157074810365</v>
      </c>
      <c r="AI267" s="86">
        <f t="shared" si="122"/>
        <v>134.61983643367122</v>
      </c>
      <c r="AJ267" s="86"/>
      <c r="AK267" s="86"/>
      <c r="AL267" s="86"/>
      <c r="AM267" s="86"/>
      <c r="AN267" s="536"/>
      <c r="AP267" s="53"/>
      <c r="AQ267" s="108"/>
      <c r="AR267" s="110"/>
      <c r="AS267" s="724"/>
      <c r="AT267" s="750"/>
      <c r="AU267" s="750"/>
      <c r="AV267" s="751"/>
      <c r="AW267" s="108"/>
      <c r="AX267" s="724"/>
      <c r="AY267" s="53"/>
      <c r="AZ267" s="108"/>
      <c r="BA267" s="771"/>
      <c r="BB267" s="108"/>
      <c r="BC267" s="724"/>
      <c r="BD267" s="724"/>
      <c r="BE267" s="724"/>
      <c r="BF267" s="634"/>
      <c r="BG267" s="108"/>
      <c r="BH267" s="725"/>
      <c r="BI267" s="725"/>
      <c r="BJ267" s="725"/>
      <c r="BK267" s="725"/>
      <c r="BL267" s="725"/>
      <c r="BM267" s="725"/>
      <c r="BN267" s="475"/>
      <c r="BO267" s="475"/>
      <c r="BP267" s="475"/>
      <c r="BY267" s="14">
        <v>9.9860000000000007</v>
      </c>
    </row>
    <row r="268" spans="1:77" ht="15" customHeight="1" x14ac:dyDescent="0.15">
      <c r="A268" s="782" t="str">
        <f>'r-in'!A222</f>
        <v>173_U</v>
      </c>
      <c r="B268" s="258" t="s">
        <v>544</v>
      </c>
      <c r="C268" s="162">
        <f>'r-in'!P222</f>
        <v>37138.690724001302</v>
      </c>
      <c r="D268" s="162">
        <f>'r-in'!Q222</f>
        <v>0.65591477005818311</v>
      </c>
      <c r="E268" s="81">
        <f>'r-in'!R222</f>
        <v>2220575.4080858133</v>
      </c>
      <c r="F268" s="162">
        <f>'r-in'!S222</f>
        <v>5.1769942859835894</v>
      </c>
      <c r="G268" s="81">
        <f>'r-in'!T222</f>
        <v>26071.462439729978</v>
      </c>
      <c r="H268" s="162">
        <f>'r-in'!U222</f>
        <v>0.69668656628579928</v>
      </c>
      <c r="I268" s="81">
        <f>'r-in'!V222</f>
        <v>32077.436846864421</v>
      </c>
      <c r="J268" s="162">
        <f>'r-in'!W222</f>
        <v>0.55278486180732722</v>
      </c>
      <c r="K268" s="81">
        <f>'r-in'!X222</f>
        <v>10039881.665549835</v>
      </c>
      <c r="L268" s="162">
        <f>'r-in'!Y222</f>
        <v>5.263866065706841</v>
      </c>
      <c r="M268" s="81">
        <f>'r-in'!Z222</f>
        <v>16978.205023945771</v>
      </c>
      <c r="N268" s="162">
        <f>'r-in'!AA222</f>
        <v>1.2487186282491067</v>
      </c>
      <c r="O268" s="81">
        <f>'r-in'!AB222</f>
        <v>2157488.6896682568</v>
      </c>
      <c r="P268" s="162">
        <f>'r-in'!AC222</f>
        <v>5.3228642115688203</v>
      </c>
      <c r="Q268" s="81">
        <f>'r-in'!AD222</f>
        <v>9960059.7026294358</v>
      </c>
      <c r="R268" s="162">
        <f>'r-in'!AE222</f>
        <v>5.3053132547557773</v>
      </c>
      <c r="S268" s="157">
        <f>'r-in'!AF222</f>
        <v>4.5523407569908043</v>
      </c>
      <c r="T268" s="157">
        <f>'r-in'!AG222</f>
        <v>2.9714069591071195E-2</v>
      </c>
      <c r="U268" s="157">
        <f>'r-in'!AH222</f>
        <v>4.620543555096928</v>
      </c>
      <c r="V268" s="157">
        <f>'r-in'!AI222</f>
        <v>2.7126410655263292E-2</v>
      </c>
      <c r="W268" s="158">
        <v>173</v>
      </c>
      <c r="X268" s="764">
        <f t="shared" si="115"/>
        <v>0.88251772955142394</v>
      </c>
      <c r="Y268" s="387">
        <f t="shared" si="117"/>
        <v>4.0777116075376059</v>
      </c>
      <c r="Z268" s="640">
        <f t="shared" si="118"/>
        <v>2.9714069591071195E-2</v>
      </c>
      <c r="AA268" s="473">
        <f t="shared" si="120"/>
        <v>5.7249001202628325</v>
      </c>
      <c r="AB268" s="478">
        <f t="shared" si="121"/>
        <v>0.29884179671646471</v>
      </c>
      <c r="AC268" s="108">
        <v>1</v>
      </c>
      <c r="AD268" s="159">
        <f t="shared" si="116"/>
        <v>7.1336235325154998E-2</v>
      </c>
      <c r="AE268" s="160">
        <v>285</v>
      </c>
      <c r="AF268" s="160">
        <v>14</v>
      </c>
      <c r="AG268" s="160">
        <v>2.1</v>
      </c>
      <c r="AH268" s="303">
        <f t="shared" si="119"/>
        <v>3.2294432829030728</v>
      </c>
      <c r="AI268" s="86">
        <f t="shared" si="122"/>
        <v>586.63796841785904</v>
      </c>
      <c r="AJ268" s="86"/>
      <c r="AK268" s="86"/>
      <c r="AL268" s="775"/>
      <c r="AM268" s="775"/>
      <c r="AN268" s="536"/>
      <c r="AP268" s="53"/>
      <c r="AQ268" s="108"/>
      <c r="AR268" s="108"/>
      <c r="AS268" s="724"/>
      <c r="AT268" s="724"/>
      <c r="AU268" s="724"/>
      <c r="AV268" s="634"/>
      <c r="AW268" s="108"/>
      <c r="AX268" s="725"/>
      <c r="AY268" s="53"/>
      <c r="AZ268" s="108"/>
      <c r="BA268" s="771"/>
      <c r="BB268" s="108"/>
      <c r="BC268" s="724"/>
      <c r="BD268" s="724"/>
      <c r="BE268" s="724"/>
      <c r="BF268" s="634"/>
      <c r="BG268" s="108"/>
      <c r="BH268" s="725"/>
      <c r="BI268" s="725"/>
      <c r="BJ268" s="725"/>
      <c r="BK268" s="725"/>
      <c r="BL268" s="634"/>
      <c r="BM268" s="724"/>
      <c r="BN268" s="475"/>
      <c r="BO268" s="475"/>
      <c r="BP268" s="10"/>
      <c r="BY268" s="14">
        <v>9.9860000000000007</v>
      </c>
    </row>
    <row r="269" spans="1:77" ht="15" customHeight="1" x14ac:dyDescent="0.15">
      <c r="A269" s="782" t="str">
        <f>'r-in'!A223</f>
        <v>174_U</v>
      </c>
      <c r="B269" s="258" t="s">
        <v>544</v>
      </c>
      <c r="C269" s="162">
        <f>'r-in'!P223</f>
        <v>-698.92120819471131</v>
      </c>
      <c r="D269" s="162">
        <f>'r-in'!Q223</f>
        <v>-38.063460900242575</v>
      </c>
      <c r="E269" s="81">
        <f>'r-in'!R223</f>
        <v>567992.12482846295</v>
      </c>
      <c r="F269" s="162">
        <f>'r-in'!S223</f>
        <v>15.065824890030617</v>
      </c>
      <c r="G269" s="81">
        <f>'r-in'!T223</f>
        <v>-777.51209361291012</v>
      </c>
      <c r="H269" s="162">
        <f>'r-in'!U223</f>
        <v>-28.936209158987936</v>
      </c>
      <c r="I269" s="81">
        <f>'r-in'!V223</f>
        <v>-734.86231407176126</v>
      </c>
      <c r="J269" s="162">
        <f>'r-in'!W223</f>
        <v>-26.199229200485799</v>
      </c>
      <c r="K269" s="81">
        <f>'r-in'!X223</f>
        <v>2571068.7852193494</v>
      </c>
      <c r="L269" s="162">
        <f>'r-in'!Y223</f>
        <v>15.505100474882843</v>
      </c>
      <c r="M269" s="81">
        <f>'r-in'!Z223</f>
        <v>-513.220668306834</v>
      </c>
      <c r="N269" s="162">
        <f>'r-in'!AA223</f>
        <v>-54.67310818821683</v>
      </c>
      <c r="O269" s="81">
        <f>'r-in'!AB223</f>
        <v>537779.81189341354</v>
      </c>
      <c r="P269" s="162">
        <f>'r-in'!AC223</f>
        <v>15.891268183029837</v>
      </c>
      <c r="Q269" s="81">
        <f>'r-in'!AD223</f>
        <v>2508988.7096085451</v>
      </c>
      <c r="R269" s="162">
        <f>'r-in'!AE223</f>
        <v>15.883626418681837</v>
      </c>
      <c r="S269" s="157">
        <f>'r-in'!AF223</f>
        <v>4.6877568054653791</v>
      </c>
      <c r="T269" s="157">
        <f>'r-in'!AG223</f>
        <v>0.11347301217813485</v>
      </c>
      <c r="U269" s="157">
        <f>'r-in'!AH223</f>
        <v>4.6663748889649197</v>
      </c>
      <c r="V269" s="157">
        <f>'r-in'!AI223</f>
        <v>0.14199339144845491</v>
      </c>
      <c r="W269" s="158">
        <v>174</v>
      </c>
      <c r="X269" s="764">
        <f t="shared" si="115"/>
        <v>0.88253366360088259</v>
      </c>
      <c r="Y269" s="387">
        <f t="shared" si="117"/>
        <v>4.1182329264933726</v>
      </c>
      <c r="Z269" s="640">
        <f t="shared" si="118"/>
        <v>0.11347301217813485</v>
      </c>
      <c r="AA269" s="473">
        <f t="shared" si="120"/>
        <v>15.719059438493721</v>
      </c>
      <c r="AB269" s="478">
        <f t="shared" si="121"/>
        <v>1.1525670120122733</v>
      </c>
      <c r="AC269" s="108">
        <v>1</v>
      </c>
      <c r="AD269" s="159">
        <f t="shared" si="116"/>
        <v>7.1336235325154998E-2</v>
      </c>
      <c r="AE269" s="160">
        <v>285</v>
      </c>
      <c r="AF269" s="160">
        <v>14</v>
      </c>
      <c r="AG269" s="160">
        <v>2.1</v>
      </c>
      <c r="AH269" s="303">
        <f t="shared" si="119"/>
        <v>0.81391502170135221</v>
      </c>
      <c r="AI269" s="86">
        <f t="shared" si="122"/>
        <v>-4888.7133051089859</v>
      </c>
      <c r="AJ269" s="86"/>
      <c r="AK269" s="86"/>
      <c r="AL269" s="86"/>
      <c r="AM269" s="86"/>
      <c r="AN269" s="536"/>
      <c r="AP269" s="53"/>
      <c r="AQ269" s="108"/>
      <c r="AR269" s="110"/>
      <c r="AS269" s="724"/>
      <c r="AT269" s="750"/>
      <c r="AU269" s="750"/>
      <c r="AV269" s="751"/>
      <c r="AW269" s="108"/>
      <c r="AX269" s="724"/>
      <c r="AY269" s="53"/>
      <c r="AZ269" s="108"/>
      <c r="BA269" s="771"/>
      <c r="BB269" s="108"/>
      <c r="BC269" s="724"/>
      <c r="BD269" s="724"/>
      <c r="BE269" s="724"/>
      <c r="BF269" s="634"/>
      <c r="BG269" s="108"/>
      <c r="BH269" s="725"/>
      <c r="BI269" s="725"/>
      <c r="BJ269" s="725"/>
      <c r="BK269" s="725"/>
      <c r="BL269" s="725"/>
      <c r="BM269" s="725"/>
      <c r="BN269" s="475"/>
      <c r="BO269" s="475"/>
      <c r="BP269" s="475"/>
      <c r="BY269" s="14">
        <v>9.9860000000000007</v>
      </c>
    </row>
    <row r="270" spans="1:77" ht="15" customHeight="1" x14ac:dyDescent="0.15">
      <c r="A270" s="782" t="str">
        <f>'r-in'!A224</f>
        <v>175_U</v>
      </c>
      <c r="B270" s="258" t="s">
        <v>544</v>
      </c>
      <c r="C270" s="162">
        <f>'r-in'!P224</f>
        <v>7464.0677485532487</v>
      </c>
      <c r="D270" s="162">
        <f>'r-in'!Q224</f>
        <v>9.2475452478840552</v>
      </c>
      <c r="E270" s="81">
        <f>'r-in'!R224</f>
        <v>674035.70898042677</v>
      </c>
      <c r="F270" s="162">
        <f>'r-in'!S224</f>
        <v>13.148833794177877</v>
      </c>
      <c r="G270" s="81">
        <f>'r-in'!T224</f>
        <v>5275.217271553478</v>
      </c>
      <c r="H270" s="162">
        <f>'r-in'!U224</f>
        <v>9.6279493089223056</v>
      </c>
      <c r="I270" s="81">
        <f>'r-in'!V224</f>
        <v>6463.064816415992</v>
      </c>
      <c r="J270" s="162">
        <f>'r-in'!W224</f>
        <v>9.14758075646081</v>
      </c>
      <c r="K270" s="81">
        <f>'r-in'!X224</f>
        <v>3043060.8148334273</v>
      </c>
      <c r="L270" s="162">
        <f>'r-in'!Y224</f>
        <v>13.547685302733973</v>
      </c>
      <c r="M270" s="81">
        <f>'r-in'!Z224</f>
        <v>3744.1853138976803</v>
      </c>
      <c r="N270" s="162">
        <f>'r-in'!AA224</f>
        <v>11.527793778645888</v>
      </c>
      <c r="O270" s="81">
        <f>'r-in'!AB224</f>
        <v>636638.17801484442</v>
      </c>
      <c r="P270" s="162">
        <f>'r-in'!AC224</f>
        <v>13.835730821398204</v>
      </c>
      <c r="Q270" s="81">
        <f>'r-in'!AD224</f>
        <v>2976562.5292017711</v>
      </c>
      <c r="R270" s="162">
        <f>'r-in'!AE224</f>
        <v>13.839178217813014</v>
      </c>
      <c r="S270" s="157">
        <f>'r-in'!AF224</f>
        <v>4.6196207328981256</v>
      </c>
      <c r="T270" s="157">
        <f>'r-in'!AG224</f>
        <v>7.2116117256121715E-2</v>
      </c>
      <c r="U270" s="157">
        <f>'r-in'!AH224</f>
        <v>4.6787073236211647</v>
      </c>
      <c r="V270" s="157">
        <f>'r-in'!AI224</f>
        <v>8.9587324977419516E-2</v>
      </c>
      <c r="W270" s="158">
        <v>175</v>
      </c>
      <c r="X270" s="764">
        <f t="shared" si="115"/>
        <v>0.88254939669609578</v>
      </c>
      <c r="Y270" s="387">
        <f t="shared" si="117"/>
        <v>4.1291903257794642</v>
      </c>
      <c r="Z270" s="640">
        <f t="shared" si="118"/>
        <v>7.2116117256121715E-2</v>
      </c>
      <c r="AA270" s="473">
        <f t="shared" si="120"/>
        <v>18.421587317662969</v>
      </c>
      <c r="AB270" s="478">
        <f t="shared" si="121"/>
        <v>0.73444610607165117</v>
      </c>
      <c r="AC270" s="108">
        <v>1</v>
      </c>
      <c r="AD270" s="159">
        <f t="shared" si="116"/>
        <v>7.1336235325154998E-2</v>
      </c>
      <c r="AE270" s="160">
        <v>285</v>
      </c>
      <c r="AF270" s="160">
        <v>14</v>
      </c>
      <c r="AG270" s="160">
        <v>2.1</v>
      </c>
      <c r="AH270" s="303">
        <f t="shared" si="119"/>
        <v>0.96607248168934823</v>
      </c>
      <c r="AI270" s="86">
        <f t="shared" si="122"/>
        <v>794.98269440707327</v>
      </c>
      <c r="AJ270" s="86"/>
      <c r="AK270" s="86"/>
      <c r="AL270" s="775"/>
      <c r="AM270" s="775"/>
      <c r="AN270" s="536"/>
      <c r="AP270" s="53"/>
      <c r="AQ270" s="108"/>
      <c r="AR270" s="108"/>
      <c r="AS270" s="724"/>
      <c r="AT270" s="724"/>
      <c r="AU270" s="724"/>
      <c r="AV270" s="634"/>
      <c r="AW270" s="108"/>
      <c r="AX270" s="725"/>
      <c r="AY270" s="53"/>
      <c r="AZ270" s="108"/>
      <c r="BA270" s="771"/>
      <c r="BB270" s="108"/>
      <c r="BC270" s="724"/>
      <c r="BD270" s="724"/>
      <c r="BE270" s="724"/>
      <c r="BF270" s="634"/>
      <c r="BG270" s="108"/>
      <c r="BH270" s="725"/>
      <c r="BI270" s="725"/>
      <c r="BJ270" s="725"/>
      <c r="BK270" s="725"/>
      <c r="BL270" s="634"/>
      <c r="BM270" s="724"/>
      <c r="BN270" s="475"/>
      <c r="BO270" s="475"/>
      <c r="BP270" s="10"/>
      <c r="BY270" s="14">
        <v>9.9860000000000007</v>
      </c>
    </row>
    <row r="271" spans="1:77" ht="15" customHeight="1" x14ac:dyDescent="0.15">
      <c r="A271" s="782" t="str">
        <f>'r-in'!A225</f>
        <v>176_U</v>
      </c>
      <c r="B271" s="258" t="s">
        <v>544</v>
      </c>
      <c r="C271" s="162">
        <f>'r-in'!P225</f>
        <v>-1006.7152085739493</v>
      </c>
      <c r="D271" s="162">
        <f>'r-in'!Q225</f>
        <v>-18.486943592791732</v>
      </c>
      <c r="E271" s="81">
        <f>'r-in'!R225</f>
        <v>606366.74916358886</v>
      </c>
      <c r="F271" s="162">
        <f>'r-in'!S225</f>
        <v>12.140835137324055</v>
      </c>
      <c r="G271" s="81">
        <f>'r-in'!T225</f>
        <v>-1110.9652388637599</v>
      </c>
      <c r="H271" s="162">
        <f>'r-in'!U225</f>
        <v>-16.718685673865124</v>
      </c>
      <c r="I271" s="81">
        <f>'r-in'!V225</f>
        <v>-1054.3907291689129</v>
      </c>
      <c r="J271" s="162">
        <f>'r-in'!W225</f>
        <v>-11.966771953137711</v>
      </c>
      <c r="K271" s="81">
        <f>'r-in'!X225</f>
        <v>2758021.3256611684</v>
      </c>
      <c r="L271" s="162">
        <f>'r-in'!Y225</f>
        <v>12.482960433634734</v>
      </c>
      <c r="M271" s="81">
        <f>'r-in'!Z225</f>
        <v>-976.65305751651454</v>
      </c>
      <c r="N271" s="162">
        <f>'r-in'!AA225</f>
        <v>-29.821321132258266</v>
      </c>
      <c r="O271" s="81">
        <f>'r-in'!AB225</f>
        <v>576032.26639207848</v>
      </c>
      <c r="P271" s="162">
        <f>'r-in'!AC225</f>
        <v>12.782565245567284</v>
      </c>
      <c r="Q271" s="81">
        <f>'r-in'!AD225</f>
        <v>2694275.0902574994</v>
      </c>
      <c r="R271" s="162">
        <f>'r-in'!AE225</f>
        <v>12.776984773812014</v>
      </c>
      <c r="S271" s="157">
        <f>'r-in'!AF225</f>
        <v>4.7013411324744014</v>
      </c>
      <c r="T271" s="157">
        <f>'r-in'!AG225</f>
        <v>0.11463356183371087</v>
      </c>
      <c r="U271" s="157">
        <f>'r-in'!AH225</f>
        <v>4.6777768402610826</v>
      </c>
      <c r="V271" s="157">
        <f>'r-in'!AI225</f>
        <v>8.2228612836741266E-2</v>
      </c>
      <c r="W271" s="158">
        <v>176</v>
      </c>
      <c r="X271" s="764">
        <f t="shared" si="115"/>
        <v>0.88256492894485827</v>
      </c>
      <c r="Y271" s="387">
        <f t="shared" si="117"/>
        <v>4.1284417846449264</v>
      </c>
      <c r="Z271" s="640">
        <f t="shared" si="118"/>
        <v>0.11463356183371087</v>
      </c>
      <c r="AA271" s="473">
        <f t="shared" si="120"/>
        <v>18.236967479325685</v>
      </c>
      <c r="AB271" s="478">
        <f t="shared" si="121"/>
        <v>1.167241303729142</v>
      </c>
      <c r="AC271" s="108">
        <v>1</v>
      </c>
      <c r="AD271" s="159">
        <f t="shared" si="116"/>
        <v>7.1336235325154998E-2</v>
      </c>
      <c r="AE271" s="160">
        <v>285</v>
      </c>
      <c r="AF271" s="160">
        <v>14</v>
      </c>
      <c r="AG271" s="160">
        <v>2.1</v>
      </c>
      <c r="AH271" s="303">
        <f t="shared" si="119"/>
        <v>0.87488458912654332</v>
      </c>
      <c r="AI271" s="86">
        <f t="shared" si="122"/>
        <v>-2758.6818773788982</v>
      </c>
      <c r="AJ271" s="86"/>
      <c r="AK271" s="86"/>
      <c r="AL271" s="86"/>
      <c r="AM271" s="86"/>
      <c r="AN271" s="536"/>
      <c r="AP271" s="53"/>
      <c r="AQ271" s="108"/>
      <c r="AR271" s="110"/>
      <c r="AS271" s="724"/>
      <c r="AT271" s="750"/>
      <c r="AU271" s="750"/>
      <c r="AV271" s="751"/>
      <c r="AW271" s="108"/>
      <c r="AX271" s="724"/>
      <c r="AY271" s="53"/>
      <c r="AZ271" s="108"/>
      <c r="BA271" s="771"/>
      <c r="BB271" s="108"/>
      <c r="BC271" s="724"/>
      <c r="BD271" s="724"/>
      <c r="BE271" s="724"/>
      <c r="BF271" s="634"/>
      <c r="BG271" s="108"/>
      <c r="BH271" s="725"/>
      <c r="BI271" s="725"/>
      <c r="BJ271" s="725"/>
      <c r="BK271" s="725"/>
      <c r="BL271" s="725"/>
      <c r="BM271" s="725"/>
      <c r="BN271" s="475"/>
      <c r="BO271" s="475"/>
      <c r="BP271" s="475"/>
      <c r="BY271" s="14">
        <v>9.9860000000000007</v>
      </c>
    </row>
    <row r="272" spans="1:77" ht="15" customHeight="1" x14ac:dyDescent="0.15">
      <c r="A272" s="782" t="str">
        <f>'r-in'!A226</f>
        <v>177_U</v>
      </c>
      <c r="B272" s="258" t="s">
        <v>544</v>
      </c>
      <c r="C272" s="162">
        <f>'r-in'!P226</f>
        <v>13513.653940095533</v>
      </c>
      <c r="D272" s="162">
        <f>'r-in'!Q226</f>
        <v>4.5317807002216064</v>
      </c>
      <c r="E272" s="81">
        <f>'r-in'!R226</f>
        <v>1186657.4880431104</v>
      </c>
      <c r="F272" s="162">
        <f>'r-in'!S226</f>
        <v>12.183951204250105</v>
      </c>
      <c r="G272" s="81">
        <f>'r-in'!T226</f>
        <v>9514.3690979250259</v>
      </c>
      <c r="H272" s="162">
        <f>'r-in'!U226</f>
        <v>4.8973029092240905</v>
      </c>
      <c r="I272" s="81">
        <f>'r-in'!V226</f>
        <v>11684.704957270529</v>
      </c>
      <c r="J272" s="162">
        <f>'r-in'!W226</f>
        <v>4.4640373821326316</v>
      </c>
      <c r="K272" s="81">
        <f>'r-in'!X226</f>
        <v>5422122.8865799475</v>
      </c>
      <c r="L272" s="162">
        <f>'r-in'!Y226</f>
        <v>12.447695649008743</v>
      </c>
      <c r="M272" s="81">
        <f>'r-in'!Z226</f>
        <v>6703.1240578765355</v>
      </c>
      <c r="N272" s="162">
        <f>'r-in'!AA226</f>
        <v>5.4923092602493595</v>
      </c>
      <c r="O272" s="81">
        <f>'r-in'!AB226</f>
        <v>1144012.1789436471</v>
      </c>
      <c r="P272" s="162">
        <f>'r-in'!AC226</f>
        <v>12.606373155847802</v>
      </c>
      <c r="Q272" s="81">
        <f>'r-in'!AD226</f>
        <v>5352423.5702699656</v>
      </c>
      <c r="R272" s="162">
        <f>'r-in'!AE226</f>
        <v>12.607068655016642</v>
      </c>
      <c r="S272" s="157">
        <f>'r-in'!AF226</f>
        <v>4.572847408159106</v>
      </c>
      <c r="T272" s="157">
        <f>'r-in'!AG226</f>
        <v>0.15525290955433291</v>
      </c>
      <c r="U272" s="157">
        <f>'r-in'!AH226</f>
        <v>4.6760962216300621</v>
      </c>
      <c r="V272" s="157">
        <f>'r-in'!AI226</f>
        <v>4.1582543164653422E-2</v>
      </c>
      <c r="W272" s="158">
        <v>177</v>
      </c>
      <c r="X272" s="764">
        <f t="shared" si="115"/>
        <v>0.88258026057305039</v>
      </c>
      <c r="Y272" s="387">
        <f t="shared" si="117"/>
        <v>4.1270302217509167</v>
      </c>
      <c r="Z272" s="640">
        <f t="shared" si="118"/>
        <v>0.15525290955433291</v>
      </c>
      <c r="AA272" s="473">
        <f t="shared" si="120"/>
        <v>17.888820261664051</v>
      </c>
      <c r="AB272" s="478">
        <f t="shared" si="121"/>
        <v>1.5803020094844484</v>
      </c>
      <c r="AC272" s="108">
        <v>1</v>
      </c>
      <c r="AD272" s="159">
        <f t="shared" si="116"/>
        <v>7.1336235325154998E-2</v>
      </c>
      <c r="AE272" s="160">
        <v>285</v>
      </c>
      <c r="AF272" s="160">
        <v>14</v>
      </c>
      <c r="AG272" s="160">
        <v>2.1</v>
      </c>
      <c r="AH272" s="303">
        <f t="shared" si="119"/>
        <v>1.7388947565619939</v>
      </c>
      <c r="AI272" s="86">
        <f t="shared" si="122"/>
        <v>798.49686863255602</v>
      </c>
      <c r="AJ272" s="86"/>
      <c r="AK272" s="86"/>
      <c r="AL272" s="775"/>
      <c r="AM272" s="775"/>
      <c r="AN272" s="536"/>
      <c r="AP272" s="53"/>
      <c r="AQ272" s="108"/>
      <c r="AR272" s="108"/>
      <c r="AS272" s="724"/>
      <c r="AT272" s="724"/>
      <c r="AU272" s="724"/>
      <c r="AV272" s="634"/>
      <c r="AW272" s="108"/>
      <c r="AX272" s="725"/>
      <c r="AY272" s="53"/>
      <c r="AZ272" s="108"/>
      <c r="BA272" s="771"/>
      <c r="BB272" s="108"/>
      <c r="BC272" s="724"/>
      <c r="BD272" s="724"/>
      <c r="BE272" s="724"/>
      <c r="BF272" s="634"/>
      <c r="BG272" s="108"/>
      <c r="BH272" s="725"/>
      <c r="BI272" s="725"/>
      <c r="BJ272" s="725"/>
      <c r="BK272" s="725"/>
      <c r="BL272" s="634"/>
      <c r="BM272" s="724"/>
      <c r="BN272" s="475"/>
      <c r="BO272" s="475"/>
      <c r="BP272" s="10"/>
      <c r="BY272" s="14">
        <v>9.9860000000000007</v>
      </c>
    </row>
    <row r="273" spans="1:77" ht="15" customHeight="1" x14ac:dyDescent="0.15">
      <c r="A273" s="782" t="str">
        <f>'r-in'!A227</f>
        <v>178_U</v>
      </c>
      <c r="B273" s="258" t="s">
        <v>544</v>
      </c>
      <c r="C273" s="162">
        <f>'r-in'!P227</f>
        <v>-1235.1391426450293</v>
      </c>
      <c r="D273" s="162">
        <f>'r-in'!Q227</f>
        <v>-15.045597370946895</v>
      </c>
      <c r="E273" s="81">
        <f>'r-in'!R227</f>
        <v>614674.61893571645</v>
      </c>
      <c r="F273" s="162">
        <f>'r-in'!S227</f>
        <v>16.221880545324247</v>
      </c>
      <c r="G273" s="81">
        <f>'r-in'!T227</f>
        <v>-806.36865113781823</v>
      </c>
      <c r="H273" s="162">
        <f>'r-in'!U227</f>
        <v>-18.934025491166622</v>
      </c>
      <c r="I273" s="81">
        <f>'r-in'!V227</f>
        <v>-1039.0542461559132</v>
      </c>
      <c r="J273" s="162">
        <f>'r-in'!W227</f>
        <v>-11.565642968870023</v>
      </c>
      <c r="K273" s="81">
        <f>'r-in'!X227</f>
        <v>2789728.328069496</v>
      </c>
      <c r="L273" s="162">
        <f>'r-in'!Y227</f>
        <v>16.669462912474522</v>
      </c>
      <c r="M273" s="81">
        <f>'r-in'!Z227</f>
        <v>-680.91343657218772</v>
      </c>
      <c r="N273" s="162">
        <f>'r-in'!AA227</f>
        <v>-42.92711504161128</v>
      </c>
      <c r="O273" s="81">
        <f>'r-in'!AB227</f>
        <v>584888.36530128657</v>
      </c>
      <c r="P273" s="162">
        <f>'r-in'!AC227</f>
        <v>17.050311672116422</v>
      </c>
      <c r="Q273" s="81">
        <f>'r-in'!AD227</f>
        <v>2728185.1075644218</v>
      </c>
      <c r="R273" s="162">
        <f>'r-in'!AE227</f>
        <v>17.043592054268561</v>
      </c>
      <c r="S273" s="157">
        <f>'r-in'!AF227</f>
        <v>4.6913577081907141</v>
      </c>
      <c r="T273" s="157">
        <f>'r-in'!AG227</f>
        <v>0.17012238911390973</v>
      </c>
      <c r="U273" s="157">
        <f>'r-in'!AH227</f>
        <v>4.6847599384984795</v>
      </c>
      <c r="V273" s="157">
        <f>'r-in'!AI227</f>
        <v>0.18114838946293979</v>
      </c>
      <c r="W273" s="158">
        <v>178</v>
      </c>
      <c r="X273" s="764">
        <f t="shared" si="115"/>
        <v>0.88259539192465553</v>
      </c>
      <c r="Y273" s="387">
        <f t="shared" si="117"/>
        <v>4.134747533991991</v>
      </c>
      <c r="Z273" s="640">
        <f t="shared" si="118"/>
        <v>0.17012238911390973</v>
      </c>
      <c r="AA273" s="473">
        <f t="shared" si="120"/>
        <v>19.792214574421372</v>
      </c>
      <c r="AB273" s="478">
        <f t="shared" si="121"/>
        <v>1.734894879431792</v>
      </c>
      <c r="AC273" s="108">
        <v>1</v>
      </c>
      <c r="AD273" s="159">
        <f t="shared" si="116"/>
        <v>7.1336235325154998E-2</v>
      </c>
      <c r="AE273" s="160">
        <v>285</v>
      </c>
      <c r="AF273" s="160">
        <v>14</v>
      </c>
      <c r="AG273" s="160">
        <v>2.1</v>
      </c>
      <c r="AH273" s="303">
        <f t="shared" si="119"/>
        <v>0.88676918138739536</v>
      </c>
      <c r="AI273" s="86">
        <f t="shared" si="122"/>
        <v>-4006.6548272251498</v>
      </c>
      <c r="AJ273" s="86"/>
      <c r="AK273" s="86"/>
      <c r="AL273" s="86"/>
      <c r="AM273" s="86"/>
      <c r="AN273" s="536"/>
      <c r="AP273" s="53"/>
      <c r="AQ273" s="108"/>
      <c r="AR273" s="110"/>
      <c r="AS273" s="724"/>
      <c r="AT273" s="750"/>
      <c r="AU273" s="750"/>
      <c r="AV273" s="751"/>
      <c r="AW273" s="108"/>
      <c r="AX273" s="724"/>
      <c r="AY273" s="53"/>
      <c r="AZ273" s="108"/>
      <c r="BA273" s="771"/>
      <c r="BB273" s="108"/>
      <c r="BC273" s="724"/>
      <c r="BD273" s="724"/>
      <c r="BE273" s="724"/>
      <c r="BF273" s="634"/>
      <c r="BG273" s="108"/>
      <c r="BH273" s="725"/>
      <c r="BI273" s="725"/>
      <c r="BJ273" s="725"/>
      <c r="BK273" s="725"/>
      <c r="BL273" s="725"/>
      <c r="BM273" s="725"/>
      <c r="BN273" s="475"/>
      <c r="BO273" s="475"/>
      <c r="BP273" s="475"/>
      <c r="BY273" s="14">
        <v>9.9860000000000007</v>
      </c>
    </row>
    <row r="274" spans="1:77" ht="15" customHeight="1" x14ac:dyDescent="0.15">
      <c r="A274" s="782" t="str">
        <f>'r-in'!A228</f>
        <v>179_U</v>
      </c>
      <c r="B274" s="258" t="s">
        <v>544</v>
      </c>
      <c r="C274" s="162">
        <f>'r-in'!P228</f>
        <v>-1201.4916025575646</v>
      </c>
      <c r="D274" s="162">
        <f>'r-in'!Q228</f>
        <v>-18.176040897303078</v>
      </c>
      <c r="E274" s="81">
        <f>'r-in'!R228</f>
        <v>376522.6107270018</v>
      </c>
      <c r="F274" s="162">
        <f>'r-in'!S228</f>
        <v>20.329895883486632</v>
      </c>
      <c r="G274" s="81">
        <f>'r-in'!T228</f>
        <v>-905.70429896652149</v>
      </c>
      <c r="H274" s="162">
        <f>'r-in'!U228</f>
        <v>-22.667125742580495</v>
      </c>
      <c r="I274" s="81">
        <f>'r-in'!V228</f>
        <v>-1066.2224458495891</v>
      </c>
      <c r="J274" s="162">
        <f>'r-in'!W228</f>
        <v>-13.331016574093509</v>
      </c>
      <c r="K274" s="81">
        <f>'r-in'!X228</f>
        <v>1680825.1314865048</v>
      </c>
      <c r="L274" s="162">
        <f>'r-in'!Y228</f>
        <v>21.29920128986614</v>
      </c>
      <c r="M274" s="81">
        <f>'r-in'!Z228</f>
        <v>-347.04361418636159</v>
      </c>
      <c r="N274" s="162">
        <f>'r-in'!AA228</f>
        <v>-69.412349571656151</v>
      </c>
      <c r="O274" s="81">
        <f>'r-in'!AB228</f>
        <v>346700.73288263666</v>
      </c>
      <c r="P274" s="162">
        <f>'r-in'!AC228</f>
        <v>22.072970628002992</v>
      </c>
      <c r="Q274" s="81">
        <f>'r-in'!AD228</f>
        <v>1618573.9481375623</v>
      </c>
      <c r="R274" s="162">
        <f>'r-in'!AE228</f>
        <v>22.121619957230269</v>
      </c>
      <c r="S274" s="157">
        <f>'r-in'!AF228</f>
        <v>4.6712773213936618</v>
      </c>
      <c r="T274" s="157">
        <f>'r-in'!AG228</f>
        <v>0.34898943900200546</v>
      </c>
      <c r="U274" s="157">
        <f>'r-in'!AH228</f>
        <v>4.6240215154113606</v>
      </c>
      <c r="V274" s="157">
        <f>'r-in'!AI228</f>
        <v>0.61236186812757554</v>
      </c>
      <c r="W274" s="158">
        <v>179</v>
      </c>
      <c r="X274" s="764">
        <f t="shared" si="115"/>
        <v>0.88261032346178081</v>
      </c>
      <c r="Y274" s="387">
        <f t="shared" si="117"/>
        <v>4.0812091254114549</v>
      </c>
      <c r="Z274" s="640">
        <f t="shared" si="118"/>
        <v>0.34898943900200546</v>
      </c>
      <c r="AA274" s="473">
        <f t="shared" si="120"/>
        <v>6.5875263069317125</v>
      </c>
      <c r="AB274" s="478">
        <f t="shared" si="121"/>
        <v>3.5128841611227202</v>
      </c>
      <c r="AC274" s="108">
        <v>1</v>
      </c>
      <c r="AD274" s="159">
        <f t="shared" si="116"/>
        <v>7.1336235325154998E-2</v>
      </c>
      <c r="AE274" s="160">
        <v>285</v>
      </c>
      <c r="AF274" s="160">
        <v>14</v>
      </c>
      <c r="AG274" s="160">
        <v>2.1</v>
      </c>
      <c r="AH274" s="303">
        <f t="shared" si="119"/>
        <v>0.52636045903345019</v>
      </c>
      <c r="AI274" s="86">
        <f t="shared" si="122"/>
        <v>-4663.8920353923932</v>
      </c>
      <c r="AJ274" s="86"/>
      <c r="AK274" s="86"/>
      <c r="AL274" s="775"/>
      <c r="AM274" s="775"/>
      <c r="AN274" s="536"/>
      <c r="AP274" s="53"/>
      <c r="AQ274" s="108"/>
      <c r="AR274" s="108"/>
      <c r="AS274" s="724"/>
      <c r="AT274" s="724"/>
      <c r="AU274" s="724"/>
      <c r="AV274" s="634"/>
      <c r="AW274" s="108"/>
      <c r="AX274" s="725"/>
      <c r="AY274" s="53"/>
      <c r="AZ274" s="108"/>
      <c r="BA274" s="771"/>
      <c r="BB274" s="108"/>
      <c r="BC274" s="724"/>
      <c r="BD274" s="724"/>
      <c r="BE274" s="724"/>
      <c r="BF274" s="634"/>
      <c r="BG274" s="108"/>
      <c r="BH274" s="725"/>
      <c r="BI274" s="725"/>
      <c r="BJ274" s="725"/>
      <c r="BK274" s="725"/>
      <c r="BL274" s="634"/>
      <c r="BM274" s="724"/>
      <c r="BN274" s="475"/>
      <c r="BO274" s="475"/>
      <c r="BP274" s="10"/>
      <c r="BY274" s="14">
        <v>9.9860000000000007</v>
      </c>
    </row>
    <row r="275" spans="1:77" ht="15" customHeight="1" x14ac:dyDescent="0.15">
      <c r="A275" s="782" t="str">
        <f>'r-in'!A229</f>
        <v>180_U</v>
      </c>
      <c r="B275" s="258" t="s">
        <v>544</v>
      </c>
      <c r="C275" s="162">
        <f>'r-in'!P229</f>
        <v>7135.8248395283745</v>
      </c>
      <c r="D275" s="162">
        <f>'r-in'!Q229</f>
        <v>7.5694640137417277</v>
      </c>
      <c r="E275" s="81">
        <f>'r-in'!R229</f>
        <v>627997.01052446663</v>
      </c>
      <c r="F275" s="162">
        <f>'r-in'!S229</f>
        <v>17.760068515157588</v>
      </c>
      <c r="G275" s="81">
        <f>'r-in'!T229</f>
        <v>4959.599342412801</v>
      </c>
      <c r="H275" s="162">
        <f>'r-in'!U229</f>
        <v>8.4128387288688877</v>
      </c>
      <c r="I275" s="81">
        <f>'r-in'!V229</f>
        <v>6140.595550687015</v>
      </c>
      <c r="J275" s="162">
        <f>'r-in'!W229</f>
        <v>7.5949598500460178</v>
      </c>
      <c r="K275" s="81">
        <f>'r-in'!X229</f>
        <v>2822595.7137429705</v>
      </c>
      <c r="L275" s="162">
        <f>'r-in'!Y229</f>
        <v>18.443761134302271</v>
      </c>
      <c r="M275" s="81">
        <f>'r-in'!Z229</f>
        <v>3467.3039754552842</v>
      </c>
      <c r="N275" s="162">
        <f>'r-in'!AA229</f>
        <v>10.219470779582442</v>
      </c>
      <c r="O275" s="81">
        <f>'r-in'!AB229</f>
        <v>590925.51098398364</v>
      </c>
      <c r="P275" s="162">
        <f>'r-in'!AC229</f>
        <v>18.818487480032147</v>
      </c>
      <c r="Q275" s="81">
        <f>'r-in'!AD229</f>
        <v>2756371.9372953908</v>
      </c>
      <c r="R275" s="162">
        <f>'r-in'!AE229</f>
        <v>18.88077119446104</v>
      </c>
      <c r="S275" s="157">
        <f>'r-in'!AF229</f>
        <v>4.5178631950940087</v>
      </c>
      <c r="T275" s="157">
        <f>'r-in'!AG229</f>
        <v>0.2539267412239074</v>
      </c>
      <c r="U275" s="157">
        <f>'r-in'!AH229</f>
        <v>4.6375411723953412</v>
      </c>
      <c r="V275" s="157">
        <f>'r-in'!AI229</f>
        <v>0.14155795673111513</v>
      </c>
      <c r="W275" s="158">
        <v>180</v>
      </c>
      <c r="X275" s="764">
        <f t="shared" si="115"/>
        <v>0.88262505576467354</v>
      </c>
      <c r="Y275" s="387">
        <f t="shared" si="117"/>
        <v>4.0932100358964076</v>
      </c>
      <c r="Z275" s="640">
        <f t="shared" si="118"/>
        <v>0.2539267412239074</v>
      </c>
      <c r="AA275" s="473">
        <f t="shared" si="120"/>
        <v>9.5474253043303925</v>
      </c>
      <c r="AB275" s="478">
        <f t="shared" si="121"/>
        <v>2.5635108781851823</v>
      </c>
      <c r="AC275" s="108">
        <v>1</v>
      </c>
      <c r="AD275" s="159">
        <f t="shared" si="116"/>
        <v>7.1336235325154998E-2</v>
      </c>
      <c r="AE275" s="160">
        <v>285</v>
      </c>
      <c r="AF275" s="160">
        <v>14</v>
      </c>
      <c r="AG275" s="160">
        <v>2.1</v>
      </c>
      <c r="AH275" s="303">
        <f t="shared" si="119"/>
        <v>0.8968144197599125</v>
      </c>
      <c r="AI275" s="86">
        <f t="shared" si="122"/>
        <v>794.96114468402141</v>
      </c>
      <c r="AJ275" s="86"/>
      <c r="AK275" s="86"/>
      <c r="AL275" s="86"/>
      <c r="AM275" s="86"/>
      <c r="AN275" s="536"/>
      <c r="AP275" s="53"/>
      <c r="AQ275" s="108"/>
      <c r="AR275" s="110"/>
      <c r="AS275" s="724"/>
      <c r="AT275" s="750"/>
      <c r="AU275" s="750"/>
      <c r="AV275" s="751"/>
      <c r="AW275" s="108"/>
      <c r="AX275" s="724"/>
      <c r="AY275" s="53"/>
      <c r="AZ275" s="108"/>
      <c r="BA275" s="771"/>
      <c r="BB275" s="108"/>
      <c r="BC275" s="724"/>
      <c r="BD275" s="724"/>
      <c r="BE275" s="724"/>
      <c r="BF275" s="634"/>
      <c r="BG275" s="108"/>
      <c r="BH275" s="725"/>
      <c r="BI275" s="725"/>
      <c r="BJ275" s="725"/>
      <c r="BK275" s="725"/>
      <c r="BL275" s="725"/>
      <c r="BM275" s="725"/>
      <c r="BN275" s="475"/>
      <c r="BO275" s="475"/>
      <c r="BP275" s="475"/>
      <c r="BY275" s="14">
        <v>9.9860000000000007</v>
      </c>
    </row>
    <row r="276" spans="1:77" ht="15" customHeight="1" x14ac:dyDescent="0.15">
      <c r="A276" s="782" t="str">
        <f>'r-in'!A230</f>
        <v>181_U</v>
      </c>
      <c r="B276" s="258" t="s">
        <v>544</v>
      </c>
      <c r="C276" s="162">
        <f>'r-in'!P230</f>
        <v>23658.194113883928</v>
      </c>
      <c r="D276" s="162">
        <f>'r-in'!Q230</f>
        <v>3.1579487790235055</v>
      </c>
      <c r="E276" s="81">
        <f>'r-in'!R230</f>
        <v>700887.67367397062</v>
      </c>
      <c r="F276" s="162">
        <f>'r-in'!S230</f>
        <v>9.7554326775015721</v>
      </c>
      <c r="G276" s="81">
        <f>'r-in'!T230</f>
        <v>16437.364537005396</v>
      </c>
      <c r="H276" s="162">
        <f>'r-in'!U230</f>
        <v>3.3532714240952317</v>
      </c>
      <c r="I276" s="81">
        <f>'r-in'!V230</f>
        <v>20355.971483845587</v>
      </c>
      <c r="J276" s="162">
        <f>'r-in'!W230</f>
        <v>3.1749129416512725</v>
      </c>
      <c r="K276" s="81">
        <f>'r-in'!X230</f>
        <v>3098262.7160325153</v>
      </c>
      <c r="L276" s="162">
        <f>'r-in'!Y230</f>
        <v>10.23552258227684</v>
      </c>
      <c r="M276" s="81">
        <f>'r-in'!Z230</f>
        <v>10462.86247779453</v>
      </c>
      <c r="N276" s="162">
        <f>'r-in'!AA230</f>
        <v>3.6952456404798051</v>
      </c>
      <c r="O276" s="81">
        <f>'r-in'!AB230</f>
        <v>649408.32980597625</v>
      </c>
      <c r="P276" s="162">
        <f>'r-in'!AC230</f>
        <v>10.447994390949363</v>
      </c>
      <c r="Q276" s="81">
        <f>'r-in'!AD230</f>
        <v>3024780.5000341134</v>
      </c>
      <c r="R276" s="162">
        <f>'r-in'!AE230</f>
        <v>10.475335014970781</v>
      </c>
      <c r="S276" s="157">
        <f>'r-in'!AF230</f>
        <v>4.4032519166356119</v>
      </c>
      <c r="T276" s="157">
        <f>'r-in'!AG230</f>
        <v>0.25352631621577087</v>
      </c>
      <c r="U276" s="157">
        <f>'r-in'!AH230</f>
        <v>4.650355690359441</v>
      </c>
      <c r="V276" s="157">
        <f>'r-in'!AI230</f>
        <v>6.7606913452989442E-2</v>
      </c>
      <c r="W276" s="158">
        <v>181</v>
      </c>
      <c r="X276" s="764">
        <f t="shared" si="115"/>
        <v>0.8826395895317396</v>
      </c>
      <c r="Y276" s="387">
        <f t="shared" si="117"/>
        <v>4.1045880377154464</v>
      </c>
      <c r="Z276" s="640">
        <f t="shared" si="118"/>
        <v>0.25352631621577087</v>
      </c>
      <c r="AA276" s="473">
        <f t="shared" si="120"/>
        <v>12.35369039719969</v>
      </c>
      <c r="AB276" s="478">
        <f t="shared" si="121"/>
        <v>2.566583018338342</v>
      </c>
      <c r="AC276" s="108">
        <v>1</v>
      </c>
      <c r="AD276" s="159">
        <f t="shared" si="116"/>
        <v>7.1336235325154998E-2</v>
      </c>
      <c r="AE276" s="160">
        <v>285</v>
      </c>
      <c r="AF276" s="160">
        <v>14</v>
      </c>
      <c r="AG276" s="160">
        <v>2.1</v>
      </c>
      <c r="AH276" s="303">
        <f t="shared" si="119"/>
        <v>0.98462952886333477</v>
      </c>
      <c r="AI276" s="86">
        <f t="shared" si="122"/>
        <v>289.09684194489267</v>
      </c>
      <c r="AJ276" s="86"/>
      <c r="AK276" s="86"/>
      <c r="AL276" s="775"/>
      <c r="AM276" s="775"/>
      <c r="AN276" s="536"/>
      <c r="AP276" s="53"/>
      <c r="AQ276" s="108"/>
      <c r="AR276" s="108"/>
      <c r="AS276" s="724"/>
      <c r="AT276" s="724"/>
      <c r="AU276" s="724"/>
      <c r="AV276" s="634"/>
      <c r="AW276" s="108"/>
      <c r="AX276" s="725"/>
      <c r="AY276" s="53"/>
      <c r="AZ276" s="108"/>
      <c r="BA276" s="771"/>
      <c r="BB276" s="108"/>
      <c r="BC276" s="724"/>
      <c r="BD276" s="724"/>
      <c r="BE276" s="724"/>
      <c r="BF276" s="634"/>
      <c r="BG276" s="108"/>
      <c r="BH276" s="725"/>
      <c r="BI276" s="725"/>
      <c r="BJ276" s="725"/>
      <c r="BK276" s="725"/>
      <c r="BL276" s="634"/>
      <c r="BM276" s="724"/>
      <c r="BN276" s="475"/>
      <c r="BO276" s="475"/>
      <c r="BP276" s="10"/>
      <c r="BY276" s="14">
        <v>9.9860000000000007</v>
      </c>
    </row>
    <row r="277" spans="1:77" ht="15" customHeight="1" x14ac:dyDescent="0.15">
      <c r="A277" s="782" t="str">
        <f>'r-in'!A231</f>
        <v>182_U</v>
      </c>
      <c r="B277" s="258" t="s">
        <v>544</v>
      </c>
      <c r="C277" s="162">
        <f>'r-in'!P231</f>
        <v>-1540.6461175510542</v>
      </c>
      <c r="D277" s="162">
        <f>'r-in'!Q231</f>
        <v>-11.589008703043092</v>
      </c>
      <c r="E277" s="81">
        <f>'r-in'!R231</f>
        <v>394084.36850351252</v>
      </c>
      <c r="F277" s="162">
        <f>'r-in'!S231</f>
        <v>21.322249575710799</v>
      </c>
      <c r="G277" s="81">
        <f>'r-in'!T231</f>
        <v>-1114.1316218107697</v>
      </c>
      <c r="H277" s="162">
        <f>'r-in'!U231</f>
        <v>-14.23559503292919</v>
      </c>
      <c r="I277" s="81">
        <f>'r-in'!V231</f>
        <v>-1345.5929308115597</v>
      </c>
      <c r="J277" s="162">
        <f>'r-in'!W231</f>
        <v>-8.5683438593095964</v>
      </c>
      <c r="K277" s="81">
        <f>'r-in'!X231</f>
        <v>1760008.7266705311</v>
      </c>
      <c r="L277" s="162">
        <f>'r-in'!Y231</f>
        <v>22.291915413590651</v>
      </c>
      <c r="M277" s="81">
        <f>'r-in'!Z231</f>
        <v>-538.59257636778398</v>
      </c>
      <c r="N277" s="162">
        <f>'r-in'!AA231</f>
        <v>-42.048358684243652</v>
      </c>
      <c r="O277" s="81">
        <f>'r-in'!AB231</f>
        <v>364532.49460781674</v>
      </c>
      <c r="P277" s="162">
        <f>'r-in'!AC231</f>
        <v>23.046709105788441</v>
      </c>
      <c r="Q277" s="81">
        <f>'r-in'!AD231</f>
        <v>1699015.811957831</v>
      </c>
      <c r="R277" s="162">
        <f>'r-in'!AE231</f>
        <v>23.090105748522827</v>
      </c>
      <c r="S277" s="157">
        <f>'r-in'!AF231</f>
        <v>4.7611538709703076</v>
      </c>
      <c r="T277" s="157">
        <f>'r-in'!AG231</f>
        <v>0.45168750078869302</v>
      </c>
      <c r="U277" s="157">
        <f>'r-in'!AH231</f>
        <v>4.6428518428379375</v>
      </c>
      <c r="V277" s="157">
        <f>'r-in'!AI231</f>
        <v>0.50035517840254273</v>
      </c>
      <c r="W277" s="158">
        <v>182</v>
      </c>
      <c r="X277" s="764">
        <f t="shared" si="115"/>
        <v>0.88265392557955979</v>
      </c>
      <c r="Y277" s="387">
        <f t="shared" si="117"/>
        <v>4.0980314049651989</v>
      </c>
      <c r="Z277" s="640">
        <f t="shared" si="118"/>
        <v>0.45168750078869302</v>
      </c>
      <c r="AA277" s="473">
        <f t="shared" si="120"/>
        <v>10.736565535873543</v>
      </c>
      <c r="AB277" s="478">
        <f t="shared" si="121"/>
        <v>4.5653707324266879</v>
      </c>
      <c r="AC277" s="108">
        <v>1</v>
      </c>
      <c r="AD277" s="159">
        <f t="shared" si="116"/>
        <v>7.1336235325154998E-2</v>
      </c>
      <c r="AE277" s="160">
        <v>285</v>
      </c>
      <c r="AF277" s="160">
        <v>14</v>
      </c>
      <c r="AG277" s="160">
        <v>2.1</v>
      </c>
      <c r="AH277" s="303">
        <f t="shared" si="119"/>
        <v>0.55333850988337496</v>
      </c>
      <c r="AI277" s="86">
        <f t="shared" si="122"/>
        <v>-3154.5474009609056</v>
      </c>
      <c r="AJ277" s="86"/>
      <c r="AK277" s="86"/>
      <c r="AL277" s="86"/>
      <c r="AM277" s="86"/>
      <c r="AN277" s="536"/>
      <c r="AP277" s="53"/>
      <c r="AQ277" s="108"/>
      <c r="AR277" s="110"/>
      <c r="AS277" s="724"/>
      <c r="AT277" s="750"/>
      <c r="AU277" s="750"/>
      <c r="AV277" s="751"/>
      <c r="AW277" s="108"/>
      <c r="AX277" s="724"/>
      <c r="AY277" s="53"/>
      <c r="AZ277" s="108"/>
      <c r="BA277" s="771"/>
      <c r="BB277" s="108"/>
      <c r="BC277" s="724"/>
      <c r="BD277" s="724"/>
      <c r="BE277" s="724"/>
      <c r="BF277" s="634"/>
      <c r="BG277" s="108"/>
      <c r="BH277" s="725"/>
      <c r="BI277" s="725"/>
      <c r="BJ277" s="725"/>
      <c r="BK277" s="725"/>
      <c r="BL277" s="725"/>
      <c r="BM277" s="725"/>
      <c r="BN277" s="475"/>
      <c r="BO277" s="475"/>
      <c r="BP277" s="475"/>
      <c r="BY277" s="14">
        <v>9.9860000000000007</v>
      </c>
    </row>
    <row r="278" spans="1:77" s="437" customFormat="1" ht="15" customHeight="1" x14ac:dyDescent="0.2">
      <c r="A278" s="786" t="str">
        <f>'r-in'!A232</f>
        <v>183_U</v>
      </c>
      <c r="B278" s="707" t="s">
        <v>1132</v>
      </c>
      <c r="C278" s="567">
        <f>'r-in'!P232</f>
        <v>3325.9616436378333</v>
      </c>
      <c r="D278" s="567">
        <f>'r-in'!Q232</f>
        <v>6.2499750377562719</v>
      </c>
      <c r="E278" s="568">
        <f>'r-in'!R232</f>
        <v>2040724.7007145616</v>
      </c>
      <c r="F278" s="567">
        <f>'r-in'!S232</f>
        <v>0.34411295828039201</v>
      </c>
      <c r="G278" s="568">
        <f>'r-in'!T232</f>
        <v>2562.5068581706832</v>
      </c>
      <c r="H278" s="567">
        <f>'r-in'!U232</f>
        <v>22.527384570320272</v>
      </c>
      <c r="I278" s="568">
        <f>'r-in'!V232</f>
        <v>2976.8192573317824</v>
      </c>
      <c r="J278" s="567">
        <f>'r-in'!W232</f>
        <v>8.5709925184752667</v>
      </c>
      <c r="K278" s="568">
        <f>'r-in'!X232</f>
        <v>9185522.662691148</v>
      </c>
      <c r="L278" s="567">
        <f>'r-in'!Y232</f>
        <v>0.34537202200338268</v>
      </c>
      <c r="M278" s="568">
        <f>'r-in'!Z232</f>
        <v>3184.2481509421846</v>
      </c>
      <c r="N278" s="567">
        <f>'r-in'!AA232</f>
        <v>10.472566530386226</v>
      </c>
      <c r="O278" s="568">
        <f>'r-in'!AB232</f>
        <v>2005042.5913455156</v>
      </c>
      <c r="P278" s="567">
        <f>'r-in'!AC232</f>
        <v>0.34744225169962706</v>
      </c>
      <c r="Q278" s="568">
        <f>'r-in'!AD232</f>
        <v>9115244.1629305705</v>
      </c>
      <c r="R278" s="567">
        <f>'r-in'!AE232</f>
        <v>0.34659300963462125</v>
      </c>
      <c r="S278" s="588">
        <f>'r-in'!AF232</f>
        <v>4.5383355052264189</v>
      </c>
      <c r="T278" s="588">
        <f>'r-in'!AG232</f>
        <v>8.9509220006331741E-3</v>
      </c>
      <c r="U278" s="588">
        <f>'r-in'!AH232</f>
        <v>4.5461694199534577</v>
      </c>
      <c r="V278" s="588">
        <f>'r-in'!AI232</f>
        <v>1.0641300058993228E-2</v>
      </c>
      <c r="W278" s="569">
        <v>183</v>
      </c>
      <c r="X278" s="776">
        <f t="shared" si="115"/>
        <v>0.88266806484290483</v>
      </c>
      <c r="Y278" s="610">
        <f t="shared" si="117"/>
        <v>4.0127585643583092</v>
      </c>
      <c r="Z278" s="639">
        <f t="shared" si="118"/>
        <v>8.9509220006331741E-3</v>
      </c>
      <c r="AA278" s="666">
        <f t="shared" si="120"/>
        <v>-10.295088331900516</v>
      </c>
      <c r="AB278" s="667">
        <f t="shared" si="121"/>
        <v>8.8587714679899676E-2</v>
      </c>
      <c r="AC278" s="570">
        <v>1</v>
      </c>
      <c r="AD278" s="787">
        <f t="shared" si="116"/>
        <v>7.1336235325154998E-2</v>
      </c>
      <c r="AE278" s="571">
        <v>285</v>
      </c>
      <c r="AF278" s="571">
        <v>14</v>
      </c>
      <c r="AG278" s="571">
        <v>2.1</v>
      </c>
      <c r="AH278" s="572">
        <f t="shared" si="119"/>
        <v>2.9701378096362929</v>
      </c>
      <c r="AI278" s="742">
        <f t="shared" si="122"/>
        <v>2862.6048382044182</v>
      </c>
      <c r="AJ278" s="742"/>
      <c r="AK278" s="742"/>
      <c r="AL278" s="788">
        <f>AGaverage(AA278:AA292)</f>
        <v>-10.206981815056963</v>
      </c>
      <c r="AM278" s="788">
        <f>STDEV(AA278:AA292)/(COUNT(AA278:AA292)-1)^0.5</f>
        <v>0.11061602949193119</v>
      </c>
      <c r="AN278" s="573"/>
      <c r="AP278" s="240"/>
      <c r="AQ278" s="570"/>
      <c r="AR278" s="570"/>
      <c r="AS278" s="723"/>
      <c r="AT278" s="723"/>
      <c r="AU278" s="723"/>
      <c r="AV278" s="624"/>
      <c r="AW278" s="570"/>
      <c r="AX278" s="769"/>
      <c r="AY278" s="240"/>
      <c r="AZ278" s="570"/>
      <c r="BA278" s="770"/>
      <c r="BB278" s="570"/>
      <c r="BC278" s="723"/>
      <c r="BD278" s="723"/>
      <c r="BE278" s="723"/>
      <c r="BF278" s="624"/>
      <c r="BG278" s="570"/>
      <c r="BH278" s="769"/>
      <c r="BI278" s="769"/>
      <c r="BJ278" s="769"/>
      <c r="BK278" s="769"/>
      <c r="BL278" s="624"/>
      <c r="BM278" s="723"/>
      <c r="BN278" s="574"/>
      <c r="BO278" s="574"/>
      <c r="BP278" s="576"/>
      <c r="BY278" s="437">
        <v>9.9860000000000007</v>
      </c>
    </row>
    <row r="279" spans="1:77" ht="15" customHeight="1" x14ac:dyDescent="0.2">
      <c r="A279" s="782" t="str">
        <f>'r-in'!A233</f>
        <v>184_U</v>
      </c>
      <c r="B279" s="707" t="s">
        <v>1132</v>
      </c>
      <c r="C279" s="162">
        <f>'r-in'!P233</f>
        <v>3565.6271263455696</v>
      </c>
      <c r="D279" s="162">
        <f>'r-in'!Q233</f>
        <v>5.5077323239642686</v>
      </c>
      <c r="E279" s="81">
        <f>'r-in'!R233</f>
        <v>2027723.6048461073</v>
      </c>
      <c r="F279" s="162">
        <f>'r-in'!S233</f>
        <v>0.40198664718664445</v>
      </c>
      <c r="G279" s="81">
        <f>'r-in'!T233</f>
        <v>1537.1078564913955</v>
      </c>
      <c r="H279" s="162">
        <f>'r-in'!U233</f>
        <v>36.88281730510343</v>
      </c>
      <c r="I279" s="81">
        <f>'r-in'!V233</f>
        <v>2637.9467030558922</v>
      </c>
      <c r="J279" s="162">
        <f>'r-in'!W233</f>
        <v>9.5768165593729773</v>
      </c>
      <c r="K279" s="81">
        <f>'r-in'!X233</f>
        <v>9121302.1701400466</v>
      </c>
      <c r="L279" s="162">
        <f>'r-in'!Y233</f>
        <v>0.40766267719835975</v>
      </c>
      <c r="M279" s="81">
        <f>'r-in'!Z233</f>
        <v>1742.7220800387354</v>
      </c>
      <c r="N279" s="162">
        <f>'r-in'!AA233</f>
        <v>13.964974600625602</v>
      </c>
      <c r="O279" s="81">
        <f>'r-in'!AB233</f>
        <v>1991550.7565358393</v>
      </c>
      <c r="P279" s="162">
        <f>'r-in'!AC233</f>
        <v>0.40933005030510766</v>
      </c>
      <c r="Q279" s="81">
        <f>'r-in'!AD233</f>
        <v>9050249.0700856913</v>
      </c>
      <c r="R279" s="162">
        <f>'r-in'!AE233</f>
        <v>0.41041299475391291</v>
      </c>
      <c r="S279" s="157">
        <f>'r-in'!AF233</f>
        <v>4.5388090815130155</v>
      </c>
      <c r="T279" s="157">
        <f>'r-in'!AG233</f>
        <v>1.3002923880260373E-2</v>
      </c>
      <c r="U279" s="157">
        <f>'r-in'!AH233</f>
        <v>4.5443113587699813</v>
      </c>
      <c r="V279" s="157">
        <f>'r-in'!AI233</f>
        <v>1.8812559981959496E-2</v>
      </c>
      <c r="W279" s="158">
        <v>184</v>
      </c>
      <c r="X279" s="764">
        <f t="shared" si="115"/>
        <v>0.88268200837475086</v>
      </c>
      <c r="Y279" s="387">
        <f t="shared" si="117"/>
        <v>4.01118187683928</v>
      </c>
      <c r="Z279" s="640">
        <f t="shared" si="118"/>
        <v>1.3002923880260373E-2</v>
      </c>
      <c r="AA279" s="473">
        <f t="shared" si="120"/>
        <v>-10.683961810511789</v>
      </c>
      <c r="AB279" s="478">
        <f t="shared" si="121"/>
        <v>0.12864001138101955</v>
      </c>
      <c r="AC279" s="108">
        <v>1</v>
      </c>
      <c r="AD279" s="159">
        <f t="shared" si="116"/>
        <v>7.1336235325154998E-2</v>
      </c>
      <c r="AE279" s="160">
        <v>285</v>
      </c>
      <c r="AF279" s="160">
        <v>14</v>
      </c>
      <c r="AG279" s="160">
        <v>2.1</v>
      </c>
      <c r="AH279" s="303">
        <f t="shared" si="119"/>
        <v>2.9504214563063638</v>
      </c>
      <c r="AI279" s="86">
        <f t="shared" si="122"/>
        <v>5193.1683047732613</v>
      </c>
      <c r="AJ279" s="86"/>
      <c r="AK279" s="86"/>
      <c r="AL279" s="86"/>
      <c r="AM279" s="86"/>
      <c r="AN279" s="536"/>
      <c r="AP279" s="53"/>
      <c r="AQ279" s="108"/>
      <c r="AR279" s="110"/>
      <c r="AS279" s="724"/>
      <c r="AT279" s="750"/>
      <c r="AU279" s="750"/>
      <c r="AV279" s="751"/>
      <c r="AW279" s="108"/>
      <c r="AX279" s="724"/>
      <c r="AY279" s="53"/>
      <c r="AZ279" s="108"/>
      <c r="BA279" s="771"/>
      <c r="BB279" s="108"/>
      <c r="BC279" s="724"/>
      <c r="BD279" s="724"/>
      <c r="BE279" s="724"/>
      <c r="BF279" s="634"/>
      <c r="BG279" s="108"/>
      <c r="BH279" s="725"/>
      <c r="BI279" s="725"/>
      <c r="BJ279" s="725"/>
      <c r="BK279" s="725"/>
      <c r="BL279" s="725"/>
      <c r="BM279" s="725"/>
      <c r="BN279" s="475"/>
      <c r="BO279" s="475"/>
      <c r="BP279" s="475"/>
      <c r="BY279" s="14">
        <v>9.9860000000000007</v>
      </c>
    </row>
    <row r="280" spans="1:77" ht="15" customHeight="1" x14ac:dyDescent="0.2">
      <c r="A280" s="782" t="str">
        <f>'r-in'!A234</f>
        <v>185_U</v>
      </c>
      <c r="B280" s="707" t="s">
        <v>1132</v>
      </c>
      <c r="C280" s="162">
        <f>'r-in'!P234</f>
        <v>3470.0698225444748</v>
      </c>
      <c r="D280" s="162">
        <f>'r-in'!Q234</f>
        <v>5.4486850313556463</v>
      </c>
      <c r="E280" s="81">
        <f>'r-in'!R234</f>
        <v>2257944.5673685665</v>
      </c>
      <c r="F280" s="162">
        <f>'r-in'!S234</f>
        <v>0.32374869174662646</v>
      </c>
      <c r="G280" s="81">
        <f>'r-in'!T234</f>
        <v>1578.8684184721553</v>
      </c>
      <c r="H280" s="162">
        <f>'r-in'!U234</f>
        <v>35.554924639235225</v>
      </c>
      <c r="I280" s="81">
        <f>'r-in'!V234</f>
        <v>2605.1874696240779</v>
      </c>
      <c r="J280" s="162">
        <f>'r-in'!W234</f>
        <v>9.9912719506638563</v>
      </c>
      <c r="K280" s="81">
        <f>'r-in'!X234</f>
        <v>10173565.242138913</v>
      </c>
      <c r="L280" s="162">
        <f>'r-in'!Y234</f>
        <v>0.32562194813032391</v>
      </c>
      <c r="M280" s="81">
        <f>'r-in'!Z234</f>
        <v>2974.7363490143453</v>
      </c>
      <c r="N280" s="162">
        <f>'r-in'!AA234</f>
        <v>7.3446473854893712</v>
      </c>
      <c r="O280" s="81">
        <f>'r-in'!AB234</f>
        <v>2221359.533505192</v>
      </c>
      <c r="P280" s="162">
        <f>'r-in'!AC234</f>
        <v>0.32892362917005075</v>
      </c>
      <c r="Q280" s="81">
        <f>'r-in'!AD234</f>
        <v>10100102.382472472</v>
      </c>
      <c r="R280" s="162">
        <f>'r-in'!AE234</f>
        <v>0.32697788922636306</v>
      </c>
      <c r="S280" s="157">
        <f>'r-in'!AF234</f>
        <v>4.5415832026966676</v>
      </c>
      <c r="T280" s="157">
        <f>'r-in'!AG234</f>
        <v>1.2699215455640431E-2</v>
      </c>
      <c r="U280" s="157">
        <f>'r-in'!AH234</f>
        <v>4.5468379127917418</v>
      </c>
      <c r="V280" s="157">
        <f>'r-in'!AI234</f>
        <v>1.5869816897790944E-2</v>
      </c>
      <c r="W280" s="158">
        <v>185</v>
      </c>
      <c r="X280" s="764">
        <f t="shared" si="115"/>
        <v>0.88269575734629457</v>
      </c>
      <c r="Y280" s="387">
        <f t="shared" si="117"/>
        <v>4.013474534962552</v>
      </c>
      <c r="Z280" s="640">
        <f t="shared" si="118"/>
        <v>1.2699215455640431E-2</v>
      </c>
      <c r="AA280" s="473">
        <f t="shared" si="120"/>
        <v>-10.118501674053038</v>
      </c>
      <c r="AB280" s="478">
        <f t="shared" si="121"/>
        <v>0.12570718422799665</v>
      </c>
      <c r="AC280" s="108">
        <v>1</v>
      </c>
      <c r="AD280" s="159">
        <f t="shared" si="116"/>
        <v>7.1336235325154998E-2</v>
      </c>
      <c r="AE280" s="160">
        <v>285</v>
      </c>
      <c r="AF280" s="160">
        <v>14</v>
      </c>
      <c r="AG280" s="160">
        <v>2.1</v>
      </c>
      <c r="AH280" s="303">
        <f t="shared" si="119"/>
        <v>3.2943142680372968</v>
      </c>
      <c r="AI280" s="86">
        <f t="shared" si="122"/>
        <v>3395.2932957635253</v>
      </c>
      <c r="AJ280" s="86"/>
      <c r="AK280" s="86"/>
      <c r="AL280" s="775"/>
      <c r="AM280" s="775"/>
      <c r="AN280" s="536"/>
      <c r="AP280" s="53"/>
      <c r="AQ280" s="108"/>
      <c r="AR280" s="108"/>
      <c r="AS280" s="724"/>
      <c r="AT280" s="724"/>
      <c r="AU280" s="724"/>
      <c r="AV280" s="634"/>
      <c r="AW280" s="108"/>
      <c r="AX280" s="725"/>
      <c r="AY280" s="53"/>
      <c r="AZ280" s="108"/>
      <c r="BA280" s="771"/>
      <c r="BB280" s="108"/>
      <c r="BC280" s="724"/>
      <c r="BD280" s="724"/>
      <c r="BE280" s="724"/>
      <c r="BF280" s="634"/>
      <c r="BG280" s="108"/>
      <c r="BH280" s="725"/>
      <c r="BI280" s="725"/>
      <c r="BJ280" s="725"/>
      <c r="BK280" s="725"/>
      <c r="BL280" s="634"/>
      <c r="BM280" s="724"/>
      <c r="BN280" s="475"/>
      <c r="BO280" s="475"/>
      <c r="BP280" s="10"/>
      <c r="BY280" s="14">
        <v>9.9860000000000007</v>
      </c>
    </row>
    <row r="281" spans="1:77" ht="15" customHeight="1" x14ac:dyDescent="0.2">
      <c r="A281" s="782" t="str">
        <f>'r-in'!A235</f>
        <v>186_U</v>
      </c>
      <c r="B281" s="707" t="s">
        <v>1132</v>
      </c>
      <c r="C281" s="162">
        <f>'r-in'!P235</f>
        <v>3540.2829906461184</v>
      </c>
      <c r="D281" s="162">
        <f>'r-in'!Q235</f>
        <v>5.6250301437442536</v>
      </c>
      <c r="E281" s="81">
        <f>'r-in'!R235</f>
        <v>2116927.1246671695</v>
      </c>
      <c r="F281" s="162">
        <f>'r-in'!S235</f>
        <v>0.21709816347757888</v>
      </c>
      <c r="G281" s="81">
        <f>'r-in'!T235</f>
        <v>1724.6018541474953</v>
      </c>
      <c r="H281" s="162">
        <f>'r-in'!U235</f>
        <v>32.833051238597783</v>
      </c>
      <c r="I281" s="81">
        <f>'r-in'!V235</f>
        <v>2709.9374916914981</v>
      </c>
      <c r="J281" s="162">
        <f>'r-in'!W235</f>
        <v>9.8907462007000877</v>
      </c>
      <c r="K281" s="81">
        <f>'r-in'!X235</f>
        <v>9528890.3495280892</v>
      </c>
      <c r="L281" s="162">
        <f>'r-in'!Y235</f>
        <v>0.22006735480541104</v>
      </c>
      <c r="M281" s="81">
        <f>'r-in'!Z235</f>
        <v>3062.2298951251951</v>
      </c>
      <c r="N281" s="162">
        <f>'r-in'!AA235</f>
        <v>7.9818340792755818</v>
      </c>
      <c r="O281" s="81">
        <f>'r-in'!AB235</f>
        <v>2080328.9344600614</v>
      </c>
      <c r="P281" s="162">
        <f>'r-in'!AC235</f>
        <v>0.22250082891396211</v>
      </c>
      <c r="Q281" s="81">
        <f>'r-in'!AD235</f>
        <v>9454588.0323884171</v>
      </c>
      <c r="R281" s="162">
        <f>'r-in'!AE235</f>
        <v>0.22207753712076111</v>
      </c>
      <c r="S281" s="157">
        <f>'r-in'!AF235</f>
        <v>4.5392069403757231</v>
      </c>
      <c r="T281" s="157">
        <f>'r-in'!AG235</f>
        <v>1.3453633359847197E-2</v>
      </c>
      <c r="U281" s="157">
        <f>'r-in'!AH235</f>
        <v>4.5447632582389188</v>
      </c>
      <c r="V281" s="157">
        <f>'r-in'!AI235</f>
        <v>1.536758245390539E-2</v>
      </c>
      <c r="W281" s="158">
        <v>186</v>
      </c>
      <c r="X281" s="764">
        <f t="shared" si="115"/>
        <v>0.88270931304696387</v>
      </c>
      <c r="Y281" s="387">
        <f t="shared" si="117"/>
        <v>4.0117048536411577</v>
      </c>
      <c r="Z281" s="640">
        <f t="shared" si="118"/>
        <v>1.3453633359847197E-2</v>
      </c>
      <c r="AA281" s="473">
        <f t="shared" si="120"/>
        <v>-10.554975054591797</v>
      </c>
      <c r="AB281" s="478">
        <f t="shared" si="121"/>
        <v>0.13311630595325141</v>
      </c>
      <c r="AC281" s="108">
        <v>1</v>
      </c>
      <c r="AD281" s="159">
        <f t="shared" si="116"/>
        <v>7.1336235325154998E-2</v>
      </c>
      <c r="AE281" s="160">
        <v>285</v>
      </c>
      <c r="AF281" s="160">
        <v>14</v>
      </c>
      <c r="AG281" s="160">
        <v>2.1</v>
      </c>
      <c r="AH281" s="303">
        <f t="shared" si="119"/>
        <v>3.0853053919139128</v>
      </c>
      <c r="AI281" s="86">
        <f t="shared" si="122"/>
        <v>3087.4847272046109</v>
      </c>
      <c r="AJ281" s="86"/>
      <c r="AK281" s="86"/>
      <c r="AL281" s="86"/>
      <c r="AM281" s="86"/>
      <c r="AN281" s="536"/>
      <c r="AP281" s="53"/>
      <c r="AQ281" s="108"/>
      <c r="AR281" s="110"/>
      <c r="AS281" s="724"/>
      <c r="AT281" s="750"/>
      <c r="AU281" s="750"/>
      <c r="AV281" s="751"/>
      <c r="AW281" s="108"/>
      <c r="AX281" s="724"/>
      <c r="AY281" s="53"/>
      <c r="AZ281" s="108"/>
      <c r="BA281" s="771"/>
      <c r="BB281" s="108"/>
      <c r="BC281" s="724"/>
      <c r="BD281" s="724"/>
      <c r="BE281" s="724"/>
      <c r="BF281" s="634"/>
      <c r="BG281" s="108"/>
      <c r="BH281" s="725"/>
      <c r="BI281" s="725"/>
      <c r="BJ281" s="725"/>
      <c r="BK281" s="725"/>
      <c r="BL281" s="725"/>
      <c r="BM281" s="725"/>
      <c r="BN281" s="475"/>
      <c r="BO281" s="475"/>
      <c r="BP281" s="475"/>
      <c r="BY281" s="14">
        <v>9.9860000000000007</v>
      </c>
    </row>
    <row r="282" spans="1:77" ht="15" customHeight="1" x14ac:dyDescent="0.2">
      <c r="A282" s="782" t="str">
        <f>'r-in'!A236</f>
        <v>187_U</v>
      </c>
      <c r="B282" s="707" t="s">
        <v>1132</v>
      </c>
      <c r="C282" s="162">
        <f>'r-in'!P236</f>
        <v>3652.6574531316055</v>
      </c>
      <c r="D282" s="162">
        <f>'r-in'!Q236</f>
        <v>5.5018480976541637</v>
      </c>
      <c r="E282" s="81">
        <f>'r-in'!R236</f>
        <v>2053857.2625576793</v>
      </c>
      <c r="F282" s="162">
        <f>'r-in'!S236</f>
        <v>0.18196007621842444</v>
      </c>
      <c r="G282" s="81">
        <f>'r-in'!T236</f>
        <v>3185.8917851077654</v>
      </c>
      <c r="H282" s="162">
        <f>'r-in'!U236</f>
        <v>20.202891480049921</v>
      </c>
      <c r="I282" s="81">
        <f>'r-in'!V236</f>
        <v>3439.1966401512232</v>
      </c>
      <c r="J282" s="162">
        <f>'r-in'!W236</f>
        <v>8.4483947428170527</v>
      </c>
      <c r="K282" s="81">
        <f>'r-in'!X236</f>
        <v>9246787.3988856282</v>
      </c>
      <c r="L282" s="162">
        <f>'r-in'!Y236</f>
        <v>0.18489082862984496</v>
      </c>
      <c r="M282" s="81">
        <f>'r-in'!Z236</f>
        <v>2080.5213937440612</v>
      </c>
      <c r="N282" s="162">
        <f>'r-in'!AA236</f>
        <v>13.270807506654476</v>
      </c>
      <c r="O282" s="81">
        <f>'r-in'!AB236</f>
        <v>2016439.9090391474</v>
      </c>
      <c r="P282" s="162">
        <f>'r-in'!AC236</f>
        <v>0.1846461513986167</v>
      </c>
      <c r="Q282" s="81">
        <f>'r-in'!AD236</f>
        <v>9173400.2184685301</v>
      </c>
      <c r="R282" s="162">
        <f>'r-in'!AE236</f>
        <v>0.18626133949916809</v>
      </c>
      <c r="S282" s="157">
        <f>'r-in'!AF236</f>
        <v>4.5421093488777968</v>
      </c>
      <c r="T282" s="157">
        <f>'r-in'!AG236</f>
        <v>1.3509384159497402E-2</v>
      </c>
      <c r="U282" s="157">
        <f>'r-in'!AH236</f>
        <v>4.5493013509428728</v>
      </c>
      <c r="V282" s="157">
        <f>'r-in'!AI236</f>
        <v>1.9054167660136546E-2</v>
      </c>
      <c r="W282" s="158">
        <v>187</v>
      </c>
      <c r="X282" s="764">
        <f t="shared" si="115"/>
        <v>0.88272267688443418</v>
      </c>
      <c r="Y282" s="387">
        <f t="shared" si="117"/>
        <v>4.0157714664582658</v>
      </c>
      <c r="Z282" s="640">
        <f t="shared" si="118"/>
        <v>1.3509384159497402E-2</v>
      </c>
      <c r="AA282" s="473">
        <f t="shared" si="120"/>
        <v>-9.5519875549967548</v>
      </c>
      <c r="AB282" s="478">
        <f t="shared" si="121"/>
        <v>0.13380342690116898</v>
      </c>
      <c r="AC282" s="108">
        <v>1</v>
      </c>
      <c r="AD282" s="159">
        <f t="shared" si="116"/>
        <v>7.1336235325154998E-2</v>
      </c>
      <c r="AE282" s="160">
        <v>285</v>
      </c>
      <c r="AF282" s="160">
        <v>14</v>
      </c>
      <c r="AG282" s="160">
        <v>2.1</v>
      </c>
      <c r="AH282" s="303">
        <f t="shared" si="119"/>
        <v>2.9950414586128842</v>
      </c>
      <c r="AI282" s="86">
        <f t="shared" si="122"/>
        <v>4409.1833162841349</v>
      </c>
      <c r="AJ282" s="86"/>
      <c r="AK282" s="86"/>
      <c r="AL282" s="775"/>
      <c r="AM282" s="775"/>
      <c r="AN282" s="536"/>
      <c r="AP282" s="53"/>
      <c r="AQ282" s="108"/>
      <c r="AR282" s="108"/>
      <c r="AS282" s="724"/>
      <c r="AT282" s="724"/>
      <c r="AU282" s="724"/>
      <c r="AV282" s="634"/>
      <c r="AW282" s="108"/>
      <c r="AX282" s="725"/>
      <c r="AY282" s="53"/>
      <c r="AZ282" s="108"/>
      <c r="BA282" s="771"/>
      <c r="BB282" s="108"/>
      <c r="BC282" s="724"/>
      <c r="BD282" s="724"/>
      <c r="BE282" s="724"/>
      <c r="BF282" s="634"/>
      <c r="BG282" s="108"/>
      <c r="BH282" s="725"/>
      <c r="BI282" s="725"/>
      <c r="BJ282" s="725"/>
      <c r="BK282" s="725"/>
      <c r="BL282" s="634"/>
      <c r="BM282" s="724"/>
      <c r="BN282" s="475"/>
      <c r="BO282" s="475"/>
      <c r="BP282" s="10"/>
      <c r="BY282" s="14">
        <v>9.9860000000000007</v>
      </c>
    </row>
    <row r="283" spans="1:77" ht="15" customHeight="1" x14ac:dyDescent="0.2">
      <c r="A283" s="782" t="str">
        <f>'r-in'!A237</f>
        <v>188_U</v>
      </c>
      <c r="B283" s="707" t="s">
        <v>1132</v>
      </c>
      <c r="C283" s="162">
        <f>'r-in'!P237</f>
        <v>3503.298311956552</v>
      </c>
      <c r="D283" s="162">
        <f>'r-in'!Q237</f>
        <v>5.5425280995922037</v>
      </c>
      <c r="E283" s="81">
        <f>'r-in'!R237</f>
        <v>2105089.2470902498</v>
      </c>
      <c r="F283" s="162">
        <f>'r-in'!S237</f>
        <v>0.20720666710106297</v>
      </c>
      <c r="G283" s="81">
        <f>'r-in'!T237</f>
        <v>1418.8540180626808</v>
      </c>
      <c r="H283" s="162">
        <f>'r-in'!U237</f>
        <v>39.110191666261215</v>
      </c>
      <c r="I283" s="81">
        <f>'r-in'!V237</f>
        <v>2550.0423120654455</v>
      </c>
      <c r="J283" s="162">
        <f>'r-in'!W237</f>
        <v>10.828513726767744</v>
      </c>
      <c r="K283" s="81">
        <f>'r-in'!X237</f>
        <v>9480087.5324967932</v>
      </c>
      <c r="L283" s="162">
        <f>'r-in'!Y237</f>
        <v>0.20636849365083729</v>
      </c>
      <c r="M283" s="81">
        <f>'r-in'!Z237</f>
        <v>2288.9661921907027</v>
      </c>
      <c r="N283" s="162">
        <f>'r-in'!AA237</f>
        <v>11.955511604203714</v>
      </c>
      <c r="O283" s="81">
        <f>'r-in'!AB237</f>
        <v>2068796.643600838</v>
      </c>
      <c r="P283" s="162">
        <f>'r-in'!AC237</f>
        <v>0.21071767284427564</v>
      </c>
      <c r="Q283" s="81">
        <f>'r-in'!AD237</f>
        <v>9406095.7927931454</v>
      </c>
      <c r="R283" s="162">
        <f>'r-in'!AE237</f>
        <v>0.2076615205831864</v>
      </c>
      <c r="S283" s="157">
        <f>'r-in'!AF237</f>
        <v>4.5398863297923127</v>
      </c>
      <c r="T283" s="157">
        <f>'r-in'!AG237</f>
        <v>1.4922926490330442E-2</v>
      </c>
      <c r="U283" s="157">
        <f>'r-in'!AH237</f>
        <v>4.5466755776792951</v>
      </c>
      <c r="V283" s="157">
        <f>'r-in'!AI237</f>
        <v>1.476796057614994E-2</v>
      </c>
      <c r="W283" s="158">
        <v>188</v>
      </c>
      <c r="X283" s="764">
        <f t="shared" si="115"/>
        <v>0.8827358503846372</v>
      </c>
      <c r="Y283" s="387">
        <f t="shared" si="117"/>
        <v>4.0135135324857938</v>
      </c>
      <c r="Z283" s="640">
        <f t="shared" si="118"/>
        <v>1.4922926490330442E-2</v>
      </c>
      <c r="AA283" s="473">
        <f t="shared" si="120"/>
        <v>-10.108883343003082</v>
      </c>
      <c r="AB283" s="478">
        <f t="shared" si="121"/>
        <v>0.14772072367297362</v>
      </c>
      <c r="AC283" s="108">
        <v>1</v>
      </c>
      <c r="AD283" s="159">
        <f t="shared" si="116"/>
        <v>7.1336235325154998E-2</v>
      </c>
      <c r="AE283" s="160">
        <v>285</v>
      </c>
      <c r="AF283" s="160">
        <v>14</v>
      </c>
      <c r="AG283" s="160">
        <v>2.1</v>
      </c>
      <c r="AH283" s="303">
        <f t="shared" si="119"/>
        <v>3.07255435686228</v>
      </c>
      <c r="AI283" s="86">
        <f t="shared" si="122"/>
        <v>4109.3205416856099</v>
      </c>
      <c r="AJ283" s="86"/>
      <c r="AK283" s="86"/>
      <c r="AL283" s="86"/>
      <c r="AM283" s="86"/>
      <c r="AN283" s="536"/>
      <c r="AP283" s="53"/>
      <c r="AQ283" s="108"/>
      <c r="AR283" s="110"/>
      <c r="AS283" s="724"/>
      <c r="AT283" s="750"/>
      <c r="AU283" s="750"/>
      <c r="AV283" s="751"/>
      <c r="AW283" s="108"/>
      <c r="AX283" s="724"/>
      <c r="AY283" s="53"/>
      <c r="AZ283" s="108"/>
      <c r="BA283" s="771"/>
      <c r="BB283" s="108"/>
      <c r="BC283" s="724"/>
      <c r="BD283" s="724"/>
      <c r="BE283" s="724"/>
      <c r="BF283" s="634"/>
      <c r="BG283" s="108"/>
      <c r="BH283" s="725"/>
      <c r="BI283" s="725"/>
      <c r="BJ283" s="725"/>
      <c r="BK283" s="725"/>
      <c r="BL283" s="725"/>
      <c r="BM283" s="725"/>
      <c r="BN283" s="475"/>
      <c r="BO283" s="475"/>
      <c r="BP283" s="475"/>
      <c r="BY283" s="14">
        <v>9.9860000000000007</v>
      </c>
    </row>
    <row r="284" spans="1:77" ht="15" customHeight="1" x14ac:dyDescent="0.2">
      <c r="A284" s="782" t="str">
        <f>'r-in'!A238</f>
        <v>189_U</v>
      </c>
      <c r="B284" s="707" t="s">
        <v>1132</v>
      </c>
      <c r="C284" s="162">
        <f>'r-in'!P238</f>
        <v>3758.8407035574878</v>
      </c>
      <c r="D284" s="162">
        <f>'r-in'!Q238</f>
        <v>5.5951411091718626</v>
      </c>
      <c r="E284" s="81">
        <f>'r-in'!R238</f>
        <v>2168067.9734192044</v>
      </c>
      <c r="F284" s="162">
        <f>'r-in'!S238</f>
        <v>0.17443602823017612</v>
      </c>
      <c r="G284" s="81">
        <f>'r-in'!T238</f>
        <v>2995.192501069816</v>
      </c>
      <c r="H284" s="162">
        <f>'r-in'!U238</f>
        <v>20.535725936042294</v>
      </c>
      <c r="I284" s="81">
        <f>'r-in'!V238</f>
        <v>3409.6098639711863</v>
      </c>
      <c r="J284" s="162">
        <f>'r-in'!W238</f>
        <v>8.6136218628292838</v>
      </c>
      <c r="K284" s="81">
        <f>'r-in'!X238</f>
        <v>9764527.742119221</v>
      </c>
      <c r="L284" s="162">
        <f>'r-in'!Y238</f>
        <v>0.17491388721078305</v>
      </c>
      <c r="M284" s="81">
        <f>'r-in'!Z238</f>
        <v>3463.8523940177024</v>
      </c>
      <c r="N284" s="162">
        <f>'r-in'!AA238</f>
        <v>8.9908847709474209</v>
      </c>
      <c r="O284" s="81">
        <f>'r-in'!AB238</f>
        <v>2130623.7491972218</v>
      </c>
      <c r="P284" s="162">
        <f>'r-in'!AC238</f>
        <v>0.17757827145721666</v>
      </c>
      <c r="Q284" s="81">
        <f>'r-in'!AD238</f>
        <v>9689466.8053169474</v>
      </c>
      <c r="R284" s="162">
        <f>'r-in'!AE238</f>
        <v>0.17643878703359542</v>
      </c>
      <c r="S284" s="157">
        <f>'r-in'!AF238</f>
        <v>4.5403556490538302</v>
      </c>
      <c r="T284" s="157">
        <f>'r-in'!AG238</f>
        <v>1.0844419677134823E-2</v>
      </c>
      <c r="U284" s="157">
        <f>'r-in'!AH238</f>
        <v>4.5477264461959734</v>
      </c>
      <c r="V284" s="157">
        <f>'r-in'!AI238</f>
        <v>1.7545629678374659E-2</v>
      </c>
      <c r="W284" s="158">
        <v>189</v>
      </c>
      <c r="X284" s="764">
        <f t="shared" si="115"/>
        <v>0.88274883519177416</v>
      </c>
      <c r="Y284" s="387">
        <f t="shared" si="117"/>
        <v>4.0145002231503222</v>
      </c>
      <c r="Z284" s="640">
        <f t="shared" si="118"/>
        <v>1.0844419677134823E-2</v>
      </c>
      <c r="AA284" s="473">
        <f t="shared" si="120"/>
        <v>-9.8655264150149247</v>
      </c>
      <c r="AB284" s="478">
        <f t="shared" si="121"/>
        <v>0.10737433768348659</v>
      </c>
      <c r="AC284" s="108">
        <v>1</v>
      </c>
      <c r="AD284" s="159">
        <f t="shared" si="116"/>
        <v>7.1336235325154998E-2</v>
      </c>
      <c r="AE284" s="160">
        <v>285</v>
      </c>
      <c r="AF284" s="160">
        <v>14</v>
      </c>
      <c r="AG284" s="160">
        <v>2.1</v>
      </c>
      <c r="AH284" s="303">
        <f t="shared" si="119"/>
        <v>3.1667118587076941</v>
      </c>
      <c r="AI284" s="86">
        <f t="shared" si="122"/>
        <v>2797.3093836363478</v>
      </c>
      <c r="AJ284" s="86"/>
      <c r="AK284" s="86"/>
      <c r="AL284" s="775"/>
      <c r="AM284" s="775"/>
      <c r="AN284" s="536"/>
      <c r="AP284" s="53"/>
      <c r="AQ284" s="108"/>
      <c r="AR284" s="108"/>
      <c r="AS284" s="724"/>
      <c r="AT284" s="724"/>
      <c r="AU284" s="724"/>
      <c r="AV284" s="634"/>
      <c r="AW284" s="108"/>
      <c r="AX284" s="725"/>
      <c r="AY284" s="53"/>
      <c r="AZ284" s="108"/>
      <c r="BA284" s="771"/>
      <c r="BB284" s="108"/>
      <c r="BC284" s="724"/>
      <c r="BD284" s="724"/>
      <c r="BE284" s="724"/>
      <c r="BF284" s="634"/>
      <c r="BG284" s="108"/>
      <c r="BH284" s="725"/>
      <c r="BI284" s="725"/>
      <c r="BJ284" s="725"/>
      <c r="BK284" s="725"/>
      <c r="BL284" s="634"/>
      <c r="BM284" s="724"/>
      <c r="BN284" s="475"/>
      <c r="BO284" s="475"/>
      <c r="BP284" s="10"/>
      <c r="BY284" s="14">
        <v>9.9860000000000007</v>
      </c>
    </row>
    <row r="285" spans="1:77" ht="15" customHeight="1" x14ac:dyDescent="0.2">
      <c r="A285" s="782" t="str">
        <f>'r-in'!A239</f>
        <v>190_U</v>
      </c>
      <c r="B285" s="707" t="s">
        <v>1132</v>
      </c>
      <c r="C285" s="162">
        <f>'r-in'!P239</f>
        <v>3387.395406106888</v>
      </c>
      <c r="D285" s="162">
        <f>'r-in'!Q239</f>
        <v>5.8905404348290755</v>
      </c>
      <c r="E285" s="81">
        <f>'r-in'!R239</f>
        <v>2218846.5870480882</v>
      </c>
      <c r="F285" s="162">
        <f>'r-in'!S239</f>
        <v>0.24850653146664872</v>
      </c>
      <c r="G285" s="81">
        <f>'r-in'!T239</f>
        <v>2049.5454140814081</v>
      </c>
      <c r="H285" s="162">
        <f>'r-in'!U239</f>
        <v>29.594672202733609</v>
      </c>
      <c r="I285" s="81">
        <f>'r-in'!V239</f>
        <v>2775.5711728623569</v>
      </c>
      <c r="J285" s="162">
        <f>'r-in'!W239</f>
        <v>10.216946095056629</v>
      </c>
      <c r="K285" s="81">
        <f>'r-in'!X239</f>
        <v>9997187.7911429182</v>
      </c>
      <c r="L285" s="162">
        <f>'r-in'!Y239</f>
        <v>0.24823651524363879</v>
      </c>
      <c r="M285" s="81">
        <f>'r-in'!Z239</f>
        <v>3282.2044135863912</v>
      </c>
      <c r="N285" s="162">
        <f>'r-in'!AA239</f>
        <v>7.2190608236098139</v>
      </c>
      <c r="O285" s="81">
        <f>'r-in'!AB239</f>
        <v>2182128.0367554631</v>
      </c>
      <c r="P285" s="162">
        <f>'r-in'!AC239</f>
        <v>0.25147716099109263</v>
      </c>
      <c r="Q285" s="81">
        <f>'r-in'!AD239</f>
        <v>9921272.1212519147</v>
      </c>
      <c r="R285" s="162">
        <f>'r-in'!AE239</f>
        <v>0.2502530217583806</v>
      </c>
      <c r="S285" s="157">
        <f>'r-in'!AF239</f>
        <v>4.5418496508449211</v>
      </c>
      <c r="T285" s="157">
        <f>'r-in'!AG239</f>
        <v>1.1344624880190377E-2</v>
      </c>
      <c r="U285" s="157">
        <f>'r-in'!AH239</f>
        <v>4.5466182085254827</v>
      </c>
      <c r="V285" s="157">
        <f>'r-in'!AI239</f>
        <v>1.5684949411241933E-2</v>
      </c>
      <c r="W285" s="158">
        <v>190</v>
      </c>
      <c r="X285" s="764">
        <f t="shared" si="115"/>
        <v>0.88276163306832478</v>
      </c>
      <c r="Y285" s="387">
        <f t="shared" si="117"/>
        <v>4.0135801146961363</v>
      </c>
      <c r="Z285" s="640">
        <f t="shared" si="118"/>
        <v>1.1344624880190377E-2</v>
      </c>
      <c r="AA285" s="473">
        <f t="shared" si="120"/>
        <v>-10.092461537517305</v>
      </c>
      <c r="AB285" s="478">
        <f t="shared" si="121"/>
        <v>0.11230129689909774</v>
      </c>
      <c r="AC285" s="108">
        <v>1</v>
      </c>
      <c r="AD285" s="159">
        <f t="shared" si="116"/>
        <v>7.1336235325154998E-2</v>
      </c>
      <c r="AE285" s="160">
        <v>285</v>
      </c>
      <c r="AF285" s="160">
        <v>14</v>
      </c>
      <c r="AG285" s="160">
        <v>2.1</v>
      </c>
      <c r="AH285" s="303">
        <f t="shared" si="119"/>
        <v>3.2441088223910231</v>
      </c>
      <c r="AI285" s="86">
        <f t="shared" si="122"/>
        <v>3022.7465663575667</v>
      </c>
      <c r="AJ285" s="86"/>
      <c r="AK285" s="86"/>
      <c r="AL285" s="86"/>
      <c r="AM285" s="86"/>
      <c r="AN285" s="536"/>
      <c r="AP285" s="53"/>
      <c r="AQ285" s="108"/>
      <c r="AR285" s="110"/>
      <c r="AS285" s="724"/>
      <c r="AT285" s="750"/>
      <c r="AU285" s="750"/>
      <c r="AV285" s="751"/>
      <c r="AW285" s="108"/>
      <c r="AX285" s="724"/>
      <c r="AY285" s="53"/>
      <c r="AZ285" s="108"/>
      <c r="BA285" s="771"/>
      <c r="BB285" s="108"/>
      <c r="BC285" s="724"/>
      <c r="BD285" s="724"/>
      <c r="BE285" s="724"/>
      <c r="BF285" s="634"/>
      <c r="BG285" s="108"/>
      <c r="BH285" s="725"/>
      <c r="BI285" s="725"/>
      <c r="BJ285" s="725"/>
      <c r="BK285" s="725"/>
      <c r="BL285" s="725"/>
      <c r="BM285" s="725"/>
      <c r="BN285" s="475"/>
      <c r="BO285" s="475"/>
      <c r="BP285" s="475"/>
      <c r="BY285" s="14">
        <v>9.9860000000000007</v>
      </c>
    </row>
    <row r="286" spans="1:77" ht="15" customHeight="1" x14ac:dyDescent="0.2">
      <c r="A286" s="782" t="str">
        <f>'r-in'!A240</f>
        <v>191_U</v>
      </c>
      <c r="B286" s="707" t="s">
        <v>1132</v>
      </c>
      <c r="C286" s="162">
        <f>'r-in'!P240</f>
        <v>3422.3254823231737</v>
      </c>
      <c r="D286" s="162">
        <f>'r-in'!Q240</f>
        <v>5.4177059191139261</v>
      </c>
      <c r="E286" s="81">
        <f>'r-in'!R240</f>
        <v>2270634.7246887162</v>
      </c>
      <c r="F286" s="162">
        <f>'r-in'!S240</f>
        <v>0.27834331103903776</v>
      </c>
      <c r="G286" s="81">
        <f>'r-in'!T240</f>
        <v>2754.3515884826493</v>
      </c>
      <c r="H286" s="162">
        <f>'r-in'!U240</f>
        <v>19.927041280707488</v>
      </c>
      <c r="I286" s="81">
        <f>'r-in'!V240</f>
        <v>3116.8483228042619</v>
      </c>
      <c r="J286" s="162">
        <f>'r-in'!W240</f>
        <v>8.7971912296089112</v>
      </c>
      <c r="K286" s="81">
        <f>'r-in'!X240</f>
        <v>10230665.806570768</v>
      </c>
      <c r="L286" s="162">
        <f>'r-in'!Y240</f>
        <v>0.28300328789202917</v>
      </c>
      <c r="M286" s="81">
        <f>'r-in'!Z240</f>
        <v>2980.6665243589628</v>
      </c>
      <c r="N286" s="162">
        <f>'r-in'!AA240</f>
        <v>5.7794440586623761</v>
      </c>
      <c r="O286" s="81">
        <f>'r-in'!AB240</f>
        <v>2233652.3214494707</v>
      </c>
      <c r="P286" s="162">
        <f>'r-in'!AC240</f>
        <v>0.28307757289030522</v>
      </c>
      <c r="Q286" s="81">
        <f>'r-in'!AD240</f>
        <v>10155104.190249804</v>
      </c>
      <c r="R286" s="162">
        <f>'r-in'!AE240</f>
        <v>0.2847527773790961</v>
      </c>
      <c r="S286" s="157">
        <f>'r-in'!AF240</f>
        <v>4.5394102159343799</v>
      </c>
      <c r="T286" s="157">
        <f>'r-in'!AG240</f>
        <v>1.2131360420335366E-2</v>
      </c>
      <c r="U286" s="157">
        <f>'r-in'!AH240</f>
        <v>4.5464007234344876</v>
      </c>
      <c r="V286" s="157">
        <f>'r-in'!AI240</f>
        <v>1.7552691247255506E-2</v>
      </c>
      <c r="W286" s="158">
        <v>191</v>
      </c>
      <c r="X286" s="764">
        <f t="shared" si="115"/>
        <v>0.88277424589505915</v>
      </c>
      <c r="Y286" s="387">
        <f t="shared" si="117"/>
        <v>4.0134454701666309</v>
      </c>
      <c r="Z286" s="640">
        <f t="shared" si="118"/>
        <v>1.2131360420335366E-2</v>
      </c>
      <c r="AA286" s="473">
        <f t="shared" si="120"/>
        <v>-10.125670201842185</v>
      </c>
      <c r="AB286" s="478">
        <f t="shared" si="121"/>
        <v>0.12008522265627342</v>
      </c>
      <c r="AC286" s="108">
        <v>1</v>
      </c>
      <c r="AD286" s="159">
        <f t="shared" si="116"/>
        <v>7.1336235325154998E-2</v>
      </c>
      <c r="AE286" s="160">
        <v>285</v>
      </c>
      <c r="AF286" s="160">
        <v>14</v>
      </c>
      <c r="AG286" s="160">
        <v>2.1</v>
      </c>
      <c r="AH286" s="303">
        <f t="shared" si="119"/>
        <v>3.3222536772471027</v>
      </c>
      <c r="AI286" s="86">
        <f t="shared" si="122"/>
        <v>3406.9910562818873</v>
      </c>
      <c r="AJ286" s="86"/>
      <c r="AK286" s="86"/>
      <c r="AL286" s="775"/>
      <c r="AM286" s="775"/>
      <c r="AN286" s="536"/>
      <c r="AP286" s="53"/>
      <c r="AQ286" s="108"/>
      <c r="AR286" s="108"/>
      <c r="AS286" s="724"/>
      <c r="AT286" s="724"/>
      <c r="AU286" s="724"/>
      <c r="AV286" s="634"/>
      <c r="AW286" s="108"/>
      <c r="AX286" s="725"/>
      <c r="AY286" s="53"/>
      <c r="AZ286" s="108"/>
      <c r="BA286" s="771"/>
      <c r="BB286" s="108"/>
      <c r="BC286" s="724"/>
      <c r="BD286" s="724"/>
      <c r="BE286" s="724"/>
      <c r="BF286" s="634"/>
      <c r="BG286" s="108"/>
      <c r="BH286" s="725"/>
      <c r="BI286" s="725"/>
      <c r="BJ286" s="725"/>
      <c r="BK286" s="725"/>
      <c r="BL286" s="634"/>
      <c r="BM286" s="724"/>
      <c r="BN286" s="475"/>
      <c r="BO286" s="475"/>
      <c r="BP286" s="10"/>
      <c r="BY286" s="14">
        <v>9.9860000000000007</v>
      </c>
    </row>
    <row r="287" spans="1:77" ht="15" customHeight="1" x14ac:dyDescent="0.2">
      <c r="A287" s="782" t="str">
        <f>'r-in'!A241</f>
        <v>192_U</v>
      </c>
      <c r="B287" s="707" t="s">
        <v>1132</v>
      </c>
      <c r="C287" s="162">
        <f>'r-in'!P241</f>
        <v>3388.5914970594836</v>
      </c>
      <c r="D287" s="162">
        <f>'r-in'!Q241</f>
        <v>5.5342096261841043</v>
      </c>
      <c r="E287" s="81">
        <f>'r-in'!R241</f>
        <v>2158162.7335757092</v>
      </c>
      <c r="F287" s="162">
        <f>'r-in'!S241</f>
        <v>0.31183843583385057</v>
      </c>
      <c r="G287" s="81">
        <f>'r-in'!T241</f>
        <v>1775.9505846548491</v>
      </c>
      <c r="H287" s="162">
        <f>'r-in'!U241</f>
        <v>31.883520127099477</v>
      </c>
      <c r="I287" s="81">
        <f>'r-in'!V241</f>
        <v>2651.1001522810188</v>
      </c>
      <c r="J287" s="162">
        <f>'r-in'!W241</f>
        <v>10.730526283504856</v>
      </c>
      <c r="K287" s="81">
        <f>'r-in'!X241</f>
        <v>9724334.8957146704</v>
      </c>
      <c r="L287" s="162">
        <f>'r-in'!Y241</f>
        <v>0.31788370186451692</v>
      </c>
      <c r="M287" s="81">
        <f>'r-in'!Z241</f>
        <v>2590.8562427889365</v>
      </c>
      <c r="N287" s="162">
        <f>'r-in'!AA241</f>
        <v>9.4977526591534787</v>
      </c>
      <c r="O287" s="81">
        <f>'r-in'!AB241</f>
        <v>2121773.7556469697</v>
      </c>
      <c r="P287" s="162">
        <f>'r-in'!AC241</f>
        <v>0.31959035794973478</v>
      </c>
      <c r="Q287" s="81">
        <f>'r-in'!AD241</f>
        <v>9650022.8263392653</v>
      </c>
      <c r="R287" s="162">
        <f>'r-in'!AE241</f>
        <v>0.32042909283366533</v>
      </c>
      <c r="S287" s="157">
        <f>'r-in'!AF241</f>
        <v>4.5423278642459231</v>
      </c>
      <c r="T287" s="157">
        <f>'r-in'!AG241</f>
        <v>1.4960649677604226E-2</v>
      </c>
      <c r="U287" s="157">
        <f>'r-in'!AH241</f>
        <v>4.5480885775941866</v>
      </c>
      <c r="V287" s="157">
        <f>'r-in'!AI241</f>
        <v>1.4897339197972358E-2</v>
      </c>
      <c r="W287" s="158">
        <v>192</v>
      </c>
      <c r="X287" s="764">
        <f t="shared" si="115"/>
        <v>0.88278667567104452</v>
      </c>
      <c r="Y287" s="387">
        <f t="shared" si="117"/>
        <v>4.0149919960718217</v>
      </c>
      <c r="Z287" s="640">
        <f t="shared" si="118"/>
        <v>1.4960649677604226E-2</v>
      </c>
      <c r="AA287" s="473">
        <f t="shared" si="120"/>
        <v>-9.7442357696826409</v>
      </c>
      <c r="AB287" s="478">
        <f t="shared" si="121"/>
        <v>0.14814869579871193</v>
      </c>
      <c r="AC287" s="108">
        <v>1</v>
      </c>
      <c r="AD287" s="159">
        <f t="shared" si="116"/>
        <v>7.1336235325154998E-2</v>
      </c>
      <c r="AE287" s="160">
        <v>285</v>
      </c>
      <c r="AF287" s="160">
        <v>14</v>
      </c>
      <c r="AG287" s="160">
        <v>2.1</v>
      </c>
      <c r="AH287" s="303">
        <f t="shared" si="119"/>
        <v>3.1586256277878531</v>
      </c>
      <c r="AI287" s="86">
        <f t="shared" si="122"/>
        <v>3724.646187220123</v>
      </c>
      <c r="AJ287" s="86"/>
      <c r="AK287" s="86"/>
      <c r="AL287" s="86"/>
      <c r="AM287" s="86"/>
      <c r="AN287" s="536"/>
      <c r="AP287" s="53"/>
      <c r="AQ287" s="108"/>
      <c r="AR287" s="110"/>
      <c r="AS287" s="724"/>
      <c r="AT287" s="750"/>
      <c r="AU287" s="750"/>
      <c r="AV287" s="751"/>
      <c r="AW287" s="108"/>
      <c r="AX287" s="724"/>
      <c r="AY287" s="53"/>
      <c r="AZ287" s="108"/>
      <c r="BA287" s="771"/>
      <c r="BB287" s="108"/>
      <c r="BC287" s="724"/>
      <c r="BD287" s="724"/>
      <c r="BE287" s="724"/>
      <c r="BF287" s="634"/>
      <c r="BG287" s="108"/>
      <c r="BH287" s="725"/>
      <c r="BI287" s="725"/>
      <c r="BJ287" s="725"/>
      <c r="BK287" s="725"/>
      <c r="BL287" s="725"/>
      <c r="BM287" s="725"/>
      <c r="BN287" s="475"/>
      <c r="BO287" s="475"/>
      <c r="BP287" s="475"/>
      <c r="BY287" s="14">
        <v>9.9860000000000007</v>
      </c>
    </row>
    <row r="288" spans="1:77" ht="15" customHeight="1" x14ac:dyDescent="0.2">
      <c r="A288" s="782" t="str">
        <f>'r-in'!A242</f>
        <v>193_U</v>
      </c>
      <c r="B288" s="707" t="s">
        <v>1132</v>
      </c>
      <c r="C288" s="162">
        <f>'r-in'!P242</f>
        <v>4046.0101598293741</v>
      </c>
      <c r="D288" s="162">
        <f>'r-in'!Q242</f>
        <v>4.7923714316998893</v>
      </c>
      <c r="E288" s="81">
        <f>'r-in'!R242</f>
        <v>1988245.1133615081</v>
      </c>
      <c r="F288" s="162">
        <f>'r-in'!S242</f>
        <v>0.45582386729553642</v>
      </c>
      <c r="G288" s="81">
        <f>'r-in'!T242</f>
        <v>522.82327890756278</v>
      </c>
      <c r="H288" s="162">
        <f>'r-in'!U242</f>
        <v>90.878788744403082</v>
      </c>
      <c r="I288" s="81">
        <f>'r-in'!V242</f>
        <v>2434.7898250789208</v>
      </c>
      <c r="J288" s="162">
        <f>'r-in'!W242</f>
        <v>10.258573537683558</v>
      </c>
      <c r="K288" s="81">
        <f>'r-in'!X242</f>
        <v>8944169.2037755977</v>
      </c>
      <c r="L288" s="162">
        <f>'r-in'!Y242</f>
        <v>0.46067708587678857</v>
      </c>
      <c r="M288" s="81">
        <f>'r-in'!Z242</f>
        <v>2589.6157879648113</v>
      </c>
      <c r="N288" s="162">
        <f>'r-in'!AA242</f>
        <v>7.8689409091747757</v>
      </c>
      <c r="O288" s="81">
        <f>'r-in'!AB242</f>
        <v>1952264.1344288841</v>
      </c>
      <c r="P288" s="162">
        <f>'r-in'!AC242</f>
        <v>0.46605850611008254</v>
      </c>
      <c r="Q288" s="81">
        <f>'r-in'!AD242</f>
        <v>8870330.8028887101</v>
      </c>
      <c r="R288" s="162">
        <f>'r-in'!AE242</f>
        <v>0.46505052055828899</v>
      </c>
      <c r="S288" s="157">
        <f>'r-in'!AF242</f>
        <v>4.5388582689935273</v>
      </c>
      <c r="T288" s="157">
        <f>'r-in'!AG242</f>
        <v>1.1573130395806045E-2</v>
      </c>
      <c r="U288" s="157">
        <f>'r-in'!AH242</f>
        <v>4.5436317719112438</v>
      </c>
      <c r="V288" s="157">
        <f>'r-in'!AI242</f>
        <v>1.7179996031345301E-2</v>
      </c>
      <c r="W288" s="158">
        <v>193</v>
      </c>
      <c r="X288" s="764">
        <f t="shared" si="115"/>
        <v>0.88279892451365594</v>
      </c>
      <c r="Y288" s="387">
        <f t="shared" si="117"/>
        <v>4.0111132416293227</v>
      </c>
      <c r="Z288" s="640">
        <f t="shared" si="118"/>
        <v>1.1573130395806045E-2</v>
      </c>
      <c r="AA288" s="473">
        <f t="shared" si="120"/>
        <v>-10.700889966870687</v>
      </c>
      <c r="AB288" s="478">
        <f t="shared" si="121"/>
        <v>0.1144928760087307</v>
      </c>
      <c r="AC288" s="108">
        <v>1</v>
      </c>
      <c r="AD288" s="159">
        <f t="shared" si="116"/>
        <v>7.1336235325154998E-2</v>
      </c>
      <c r="AE288" s="160">
        <v>285</v>
      </c>
      <c r="AF288" s="160">
        <v>14</v>
      </c>
      <c r="AG288" s="160">
        <v>2.1</v>
      </c>
      <c r="AH288" s="303">
        <f t="shared" si="119"/>
        <v>2.9049065775682084</v>
      </c>
      <c r="AI288" s="86">
        <f t="shared" si="122"/>
        <v>3425.3462788238312</v>
      </c>
      <c r="AJ288" s="86"/>
      <c r="AK288" s="86"/>
      <c r="AL288" s="775"/>
      <c r="AM288" s="775"/>
      <c r="AN288" s="536"/>
      <c r="AP288" s="53"/>
      <c r="AQ288" s="108"/>
      <c r="AR288" s="108"/>
      <c r="AS288" s="724"/>
      <c r="AT288" s="724"/>
      <c r="AU288" s="724"/>
      <c r="AV288" s="634"/>
      <c r="AW288" s="108"/>
      <c r="AX288" s="725"/>
      <c r="AY288" s="53"/>
      <c r="AZ288" s="108"/>
      <c r="BA288" s="771"/>
      <c r="BB288" s="108"/>
      <c r="BC288" s="724"/>
      <c r="BD288" s="724"/>
      <c r="BE288" s="724"/>
      <c r="BF288" s="634"/>
      <c r="BG288" s="108"/>
      <c r="BH288" s="725"/>
      <c r="BI288" s="725"/>
      <c r="BJ288" s="725"/>
      <c r="BK288" s="725"/>
      <c r="BL288" s="634"/>
      <c r="BM288" s="724"/>
      <c r="BN288" s="475"/>
      <c r="BO288" s="475"/>
      <c r="BP288" s="10"/>
      <c r="BY288" s="14">
        <v>9.9860000000000007</v>
      </c>
    </row>
    <row r="289" spans="1:77" ht="15" customHeight="1" x14ac:dyDescent="0.2">
      <c r="A289" s="782" t="str">
        <f>'r-in'!A243</f>
        <v>194_U</v>
      </c>
      <c r="B289" s="707" t="s">
        <v>1132</v>
      </c>
      <c r="C289" s="162">
        <f>'r-in'!P243</f>
        <v>3523.7649153384345</v>
      </c>
      <c r="D289" s="162">
        <f>'r-in'!Q243</f>
        <v>4.3559179149497815</v>
      </c>
      <c r="E289" s="81">
        <f>'r-in'!R243</f>
        <v>2089165.4955554763</v>
      </c>
      <c r="F289" s="162">
        <f>'r-in'!S243</f>
        <v>9.5728598295395539E-2</v>
      </c>
      <c r="G289" s="81">
        <f>'r-in'!T243</f>
        <v>3419.4249208249371</v>
      </c>
      <c r="H289" s="162">
        <f>'r-in'!U243</f>
        <v>17.115331892360974</v>
      </c>
      <c r="I289" s="81">
        <f>'r-in'!V243</f>
        <v>3476.0482523938022</v>
      </c>
      <c r="J289" s="162">
        <f>'r-in'!W243</f>
        <v>8.2785975004063665</v>
      </c>
      <c r="K289" s="81">
        <f>'r-in'!X243</f>
        <v>9406815.2712136805</v>
      </c>
      <c r="L289" s="162">
        <f>'r-in'!Y243</f>
        <v>0.10037408555731353</v>
      </c>
      <c r="M289" s="81">
        <f>'r-in'!Z243</f>
        <v>2615.1579121852628</v>
      </c>
      <c r="N289" s="162">
        <f>'r-in'!AA243</f>
        <v>10.765536318560134</v>
      </c>
      <c r="O289" s="81">
        <f>'r-in'!AB243</f>
        <v>2052221.8946556209</v>
      </c>
      <c r="P289" s="162">
        <f>'r-in'!AC243</f>
        <v>9.6886599976629004E-2</v>
      </c>
      <c r="Q289" s="81">
        <f>'r-in'!AD243</f>
        <v>9332334.6800867338</v>
      </c>
      <c r="R289" s="162">
        <f>'r-in'!AE243</f>
        <v>0.10096215305575644</v>
      </c>
      <c r="S289" s="157">
        <f>'r-in'!AF243</f>
        <v>4.5400821191701493</v>
      </c>
      <c r="T289" s="157">
        <f>'r-in'!AG243</f>
        <v>9.8950407643818399E-3</v>
      </c>
      <c r="U289" s="157">
        <f>'r-in'!AH243</f>
        <v>4.547420110531303</v>
      </c>
      <c r="V289" s="157">
        <f>'r-in'!AI243</f>
        <v>1.5540240908110403E-2</v>
      </c>
      <c r="W289" s="158">
        <v>194</v>
      </c>
      <c r="X289" s="764">
        <f t="shared" si="115"/>
        <v>0.88281099465858215</v>
      </c>
      <c r="Y289" s="387">
        <f t="shared" si="117"/>
        <v>4.0145124709085795</v>
      </c>
      <c r="Z289" s="640">
        <f t="shared" si="118"/>
        <v>9.8950407643818399E-3</v>
      </c>
      <c r="AA289" s="473">
        <f t="shared" si="120"/>
        <v>-9.8625056335973618</v>
      </c>
      <c r="AB289" s="478">
        <f t="shared" si="121"/>
        <v>9.7974508690979789E-2</v>
      </c>
      <c r="AC289" s="108">
        <v>1</v>
      </c>
      <c r="AD289" s="159">
        <f t="shared" si="116"/>
        <v>7.1336235325154998E-2</v>
      </c>
      <c r="AE289" s="160">
        <v>285</v>
      </c>
      <c r="AF289" s="160">
        <v>14</v>
      </c>
      <c r="AG289" s="160">
        <v>2.1</v>
      </c>
      <c r="AH289" s="303">
        <f t="shared" si="119"/>
        <v>3.0577812384900387</v>
      </c>
      <c r="AI289" s="86">
        <f t="shared" si="122"/>
        <v>3568.5549375825276</v>
      </c>
      <c r="AJ289" s="86"/>
      <c r="AK289" s="86"/>
      <c r="AL289" s="86"/>
      <c r="AM289" s="86"/>
      <c r="AN289" s="536"/>
      <c r="AP289" s="53"/>
      <c r="AQ289" s="108"/>
      <c r="AR289" s="110"/>
      <c r="AS289" s="724"/>
      <c r="AT289" s="750"/>
      <c r="AU289" s="750"/>
      <c r="AV289" s="751"/>
      <c r="AW289" s="108"/>
      <c r="AX289" s="724"/>
      <c r="AY289" s="53"/>
      <c r="AZ289" s="108"/>
      <c r="BA289" s="771"/>
      <c r="BB289" s="108"/>
      <c r="BC289" s="724"/>
      <c r="BD289" s="724"/>
      <c r="BE289" s="724"/>
      <c r="BF289" s="634"/>
      <c r="BG289" s="108"/>
      <c r="BH289" s="725"/>
      <c r="BI289" s="725"/>
      <c r="BJ289" s="725"/>
      <c r="BK289" s="725"/>
      <c r="BL289" s="725"/>
      <c r="BM289" s="725"/>
      <c r="BN289" s="475"/>
      <c r="BO289" s="475"/>
      <c r="BP289" s="475"/>
      <c r="BY289" s="14">
        <v>9.9860000000000007</v>
      </c>
    </row>
    <row r="290" spans="1:77" ht="15" customHeight="1" x14ac:dyDescent="0.2">
      <c r="A290" s="782" t="str">
        <f>'r-in'!A244</f>
        <v>195_U</v>
      </c>
      <c r="B290" s="707" t="s">
        <v>1132</v>
      </c>
      <c r="C290" s="162">
        <f>'r-in'!P244</f>
        <v>3422.8357696233943</v>
      </c>
      <c r="D290" s="162">
        <f>'r-in'!Q244</f>
        <v>4.9130487976328254</v>
      </c>
      <c r="E290" s="81">
        <f>'r-in'!R244</f>
        <v>2157041.2912730733</v>
      </c>
      <c r="F290" s="162">
        <f>'r-in'!S244</f>
        <v>0.43008974280896545</v>
      </c>
      <c r="G290" s="81">
        <f>'r-in'!T244</f>
        <v>4112.7320409148115</v>
      </c>
      <c r="H290" s="162">
        <f>'r-in'!U244</f>
        <v>13.6283792767777</v>
      </c>
      <c r="I290" s="81">
        <f>'r-in'!V244</f>
        <v>3738.3384490845574</v>
      </c>
      <c r="J290" s="162">
        <f>'r-in'!W244</f>
        <v>7.3870805237870147</v>
      </c>
      <c r="K290" s="81">
        <f>'r-in'!X244</f>
        <v>9714055.5501146968</v>
      </c>
      <c r="L290" s="162">
        <f>'r-in'!Y244</f>
        <v>0.4322800150492096</v>
      </c>
      <c r="M290" s="81">
        <f>'r-in'!Z244</f>
        <v>2698.2873535101962</v>
      </c>
      <c r="N290" s="162">
        <f>'r-in'!AA244</f>
        <v>9.0117676213020701</v>
      </c>
      <c r="O290" s="81">
        <f>'r-in'!AB244</f>
        <v>2119765.6036931593</v>
      </c>
      <c r="P290" s="162">
        <f>'r-in'!AC244</f>
        <v>0.43791478512966481</v>
      </c>
      <c r="Q290" s="81">
        <f>'r-in'!AD244</f>
        <v>9639549.6341837961</v>
      </c>
      <c r="R290" s="162">
        <f>'r-in'!AE244</f>
        <v>0.43497866121181716</v>
      </c>
      <c r="S290" s="157">
        <f>'r-in'!AF244</f>
        <v>4.5391705253056767</v>
      </c>
      <c r="T290" s="157">
        <f>'r-in'!AG244</f>
        <v>1.030422300383183E-2</v>
      </c>
      <c r="U290" s="157">
        <f>'r-in'!AH244</f>
        <v>4.5475057879746457</v>
      </c>
      <c r="V290" s="157">
        <f>'r-in'!AI244</f>
        <v>1.3443716855865664E-2</v>
      </c>
      <c r="W290" s="158">
        <v>195</v>
      </c>
      <c r="X290" s="764">
        <f t="shared" si="115"/>
        <v>0.88282288845983459</v>
      </c>
      <c r="Y290" s="387">
        <f t="shared" si="117"/>
        <v>4.0146421950275926</v>
      </c>
      <c r="Z290" s="640">
        <f t="shared" si="118"/>
        <v>1.030422300383183E-2</v>
      </c>
      <c r="AA290" s="473">
        <f t="shared" si="120"/>
        <v>-9.8305105370347654</v>
      </c>
      <c r="AB290" s="478">
        <f t="shared" si="121"/>
        <v>0.10202927231006598</v>
      </c>
      <c r="AC290" s="108">
        <v>1</v>
      </c>
      <c r="AD290" s="159">
        <f t="shared" si="116"/>
        <v>7.1336235325154998E-2</v>
      </c>
      <c r="AE290" s="160">
        <v>285</v>
      </c>
      <c r="AF290" s="160">
        <v>14</v>
      </c>
      <c r="AG290" s="160">
        <v>2.1</v>
      </c>
      <c r="AH290" s="303">
        <f t="shared" si="119"/>
        <v>3.1600786904129019</v>
      </c>
      <c r="AI290" s="86">
        <f t="shared" si="122"/>
        <v>3572.4696339860639</v>
      </c>
      <c r="AJ290" s="86"/>
      <c r="AK290" s="86"/>
      <c r="AL290" s="775"/>
      <c r="AM290" s="775"/>
      <c r="AN290" s="536"/>
      <c r="AP290" s="53"/>
      <c r="AQ290" s="108"/>
      <c r="AR290" s="108"/>
      <c r="AS290" s="724"/>
      <c r="AT290" s="724"/>
      <c r="AU290" s="724"/>
      <c r="AV290" s="634"/>
      <c r="AW290" s="108"/>
      <c r="AX290" s="725"/>
      <c r="AY290" s="53"/>
      <c r="AZ290" s="108"/>
      <c r="BA290" s="771"/>
      <c r="BB290" s="108"/>
      <c r="BC290" s="724"/>
      <c r="BD290" s="724"/>
      <c r="BE290" s="724"/>
      <c r="BF290" s="634"/>
      <c r="BG290" s="108"/>
      <c r="BH290" s="725"/>
      <c r="BI290" s="725"/>
      <c r="BJ290" s="725"/>
      <c r="BK290" s="725"/>
      <c r="BL290" s="634"/>
      <c r="BM290" s="724"/>
      <c r="BN290" s="475"/>
      <c r="BO290" s="475"/>
      <c r="BP290" s="10"/>
      <c r="BY290" s="14">
        <v>9.9860000000000007</v>
      </c>
    </row>
    <row r="291" spans="1:77" ht="15" customHeight="1" x14ac:dyDescent="0.2">
      <c r="A291" s="782" t="str">
        <f>'r-in'!A245</f>
        <v>196_U</v>
      </c>
      <c r="B291" s="707" t="s">
        <v>1132</v>
      </c>
      <c r="C291" s="162">
        <f>'r-in'!P245</f>
        <v>3475.7214048713427</v>
      </c>
      <c r="D291" s="162">
        <f>'r-in'!Q245</f>
        <v>5.1213975961438116</v>
      </c>
      <c r="E291" s="81">
        <f>'r-in'!R245</f>
        <v>2019636.5110130305</v>
      </c>
      <c r="F291" s="162">
        <f>'r-in'!S245</f>
        <v>0.44475668494370374</v>
      </c>
      <c r="G291" s="81">
        <f>'r-in'!T245</f>
        <v>834.92537691317932</v>
      </c>
      <c r="H291" s="162">
        <f>'r-in'!U245</f>
        <v>63.320434893654742</v>
      </c>
      <c r="I291" s="81">
        <f>'r-in'!V245</f>
        <v>2268.0351810110983</v>
      </c>
      <c r="J291" s="162">
        <f>'r-in'!W245</f>
        <v>11.491630903533805</v>
      </c>
      <c r="K291" s="81">
        <f>'r-in'!X245</f>
        <v>9090490.6220663097</v>
      </c>
      <c r="L291" s="162">
        <f>'r-in'!Y245</f>
        <v>0.44933615757978307</v>
      </c>
      <c r="M291" s="81">
        <f>'r-in'!Z245</f>
        <v>3000.7557782261465</v>
      </c>
      <c r="N291" s="162">
        <f>'r-in'!AA245</f>
        <v>9.6162034399208984</v>
      </c>
      <c r="O291" s="81">
        <f>'r-in'!AB245</f>
        <v>1983993.1051033363</v>
      </c>
      <c r="P291" s="162">
        <f>'r-in'!AC245</f>
        <v>0.4516717080119001</v>
      </c>
      <c r="Q291" s="81">
        <f>'r-in'!AD245</f>
        <v>9015192.1211213525</v>
      </c>
      <c r="R291" s="162">
        <f>'r-in'!AE245</f>
        <v>0.45339284539871955</v>
      </c>
      <c r="S291" s="157">
        <f>'r-in'!AF245</f>
        <v>4.5392381163016129</v>
      </c>
      <c r="T291" s="157">
        <f>'r-in'!AG245</f>
        <v>1.2453341120660462E-2</v>
      </c>
      <c r="U291" s="157">
        <f>'r-in'!AH245</f>
        <v>4.5439399587342777</v>
      </c>
      <c r="V291" s="157">
        <f>'r-in'!AI245</f>
        <v>1.5554877650963054E-2</v>
      </c>
      <c r="W291" s="158">
        <v>196</v>
      </c>
      <c r="X291" s="764">
        <f t="shared" si="115"/>
        <v>0.88283460838975281</v>
      </c>
      <c r="Y291" s="387">
        <f t="shared" si="117"/>
        <v>4.0115474540157257</v>
      </c>
      <c r="Z291" s="640">
        <f t="shared" si="118"/>
        <v>1.2453341120660462E-2</v>
      </c>
      <c r="AA291" s="473">
        <f t="shared" si="120"/>
        <v>-10.593796025224922</v>
      </c>
      <c r="AB291" s="478">
        <f t="shared" si="121"/>
        <v>0.12321412964988454</v>
      </c>
      <c r="AC291" s="108">
        <v>1</v>
      </c>
      <c r="AD291" s="159">
        <f t="shared" si="116"/>
        <v>7.1336235325154998E-2</v>
      </c>
      <c r="AE291" s="160">
        <v>285</v>
      </c>
      <c r="AF291" s="160">
        <v>14</v>
      </c>
      <c r="AG291" s="160">
        <v>2.1</v>
      </c>
      <c r="AH291" s="303">
        <f t="shared" si="119"/>
        <v>2.9569403395046581</v>
      </c>
      <c r="AI291" s="86">
        <f t="shared" si="122"/>
        <v>3004.3071770574256</v>
      </c>
      <c r="AJ291" s="86"/>
      <c r="AK291" s="86"/>
      <c r="AL291" s="86"/>
      <c r="AM291" s="86"/>
      <c r="AN291" s="536"/>
      <c r="AP291" s="53"/>
      <c r="AQ291" s="108"/>
      <c r="AR291" s="110"/>
      <c r="AS291" s="724"/>
      <c r="AT291" s="750"/>
      <c r="AU291" s="750"/>
      <c r="AV291" s="751"/>
      <c r="AW291" s="108"/>
      <c r="AX291" s="724"/>
      <c r="AY291" s="53"/>
      <c r="AZ291" s="108"/>
      <c r="BA291" s="771"/>
      <c r="BB291" s="108"/>
      <c r="BC291" s="724"/>
      <c r="BD291" s="724"/>
      <c r="BE291" s="724"/>
      <c r="BF291" s="634"/>
      <c r="BG291" s="108"/>
      <c r="BH291" s="725"/>
      <c r="BI291" s="725"/>
      <c r="BJ291" s="725"/>
      <c r="BK291" s="725"/>
      <c r="BL291" s="725"/>
      <c r="BM291" s="725"/>
      <c r="BN291" s="475"/>
      <c r="BO291" s="475"/>
      <c r="BP291" s="475"/>
      <c r="BY291" s="14">
        <v>9.9860000000000007</v>
      </c>
    </row>
    <row r="292" spans="1:77" ht="15" customHeight="1" x14ac:dyDescent="0.2">
      <c r="A292" s="782" t="str">
        <f>'r-in'!A246</f>
        <v>197_U</v>
      </c>
      <c r="B292" s="707" t="s">
        <v>1132</v>
      </c>
      <c r="C292" s="162">
        <f>'r-in'!P246</f>
        <v>3225.1601922885943</v>
      </c>
      <c r="D292" s="162">
        <f>'r-in'!Q246</f>
        <v>6.0188339036862297</v>
      </c>
      <c r="E292" s="81">
        <f>'r-in'!R246</f>
        <v>2178744.1547637386</v>
      </c>
      <c r="F292" s="162">
        <f>'r-in'!S246</f>
        <v>0.33559150299401114</v>
      </c>
      <c r="G292" s="81">
        <f>'r-in'!T246</f>
        <v>2833.7215261721885</v>
      </c>
      <c r="H292" s="162">
        <f>'r-in'!U246</f>
        <v>19.943949584108992</v>
      </c>
      <c r="I292" s="81">
        <f>'r-in'!V246</f>
        <v>3046.1478492109181</v>
      </c>
      <c r="J292" s="162">
        <f>'r-in'!W246</f>
        <v>9.0748547300078783</v>
      </c>
      <c r="K292" s="81">
        <f>'r-in'!X246</f>
        <v>9805133.5951342657</v>
      </c>
      <c r="L292" s="162">
        <f>'r-in'!Y246</f>
        <v>0.33728695493419697</v>
      </c>
      <c r="M292" s="81">
        <f>'r-in'!Z246</f>
        <v>3205.637498998195</v>
      </c>
      <c r="N292" s="162">
        <f>'r-in'!AA246</f>
        <v>6.7096005852954912</v>
      </c>
      <c r="O292" s="81">
        <f>'r-in'!AB246</f>
        <v>2142258.186129828</v>
      </c>
      <c r="P292" s="162">
        <f>'r-in'!AC246</f>
        <v>0.34156197839131563</v>
      </c>
      <c r="Q292" s="81">
        <f>'r-in'!AD246</f>
        <v>9730366.2345869895</v>
      </c>
      <c r="R292" s="162">
        <f>'r-in'!AE246</f>
        <v>0.34025422613889811</v>
      </c>
      <c r="S292" s="157">
        <f>'r-in'!AF246</f>
        <v>4.535715405555429</v>
      </c>
      <c r="T292" s="157">
        <f>'r-in'!AG246</f>
        <v>9.9230148812415597E-3</v>
      </c>
      <c r="U292" s="157">
        <f>'r-in'!AH246</f>
        <v>4.5421264589296833</v>
      </c>
      <c r="V292" s="157">
        <f>'r-in'!AI246</f>
        <v>1.5099611212006763E-2</v>
      </c>
      <c r="W292" s="158">
        <v>197</v>
      </c>
      <c r="X292" s="764">
        <f t="shared" si="115"/>
        <v>0.88284615703901126</v>
      </c>
      <c r="Y292" s="387">
        <f t="shared" si="117"/>
        <v>4.0099988890512837</v>
      </c>
      <c r="Z292" s="640">
        <f t="shared" si="118"/>
        <v>9.9230148812415597E-3</v>
      </c>
      <c r="AA292" s="473">
        <f t="shared" si="120"/>
        <v>-10.975733370012675</v>
      </c>
      <c r="AB292" s="478">
        <f t="shared" si="121"/>
        <v>9.8141025156817108E-2</v>
      </c>
      <c r="AC292" s="108">
        <v>1</v>
      </c>
      <c r="AD292" s="159">
        <f t="shared" si="116"/>
        <v>7.1336235325154998E-2</v>
      </c>
      <c r="AE292" s="160">
        <v>285</v>
      </c>
      <c r="AF292" s="160">
        <v>14</v>
      </c>
      <c r="AG292" s="160">
        <v>2.1</v>
      </c>
      <c r="AH292" s="303">
        <f t="shared" si="119"/>
        <v>3.1931891238341326</v>
      </c>
      <c r="AI292" s="86">
        <f t="shared" si="122"/>
        <v>3035.3919423602515</v>
      </c>
      <c r="AJ292" s="86"/>
      <c r="AK292" s="86"/>
      <c r="AL292" s="775"/>
      <c r="AM292" s="775"/>
      <c r="AN292" s="536"/>
      <c r="AP292" s="53"/>
      <c r="AQ292" s="108"/>
      <c r="AR292" s="108"/>
      <c r="AS292" s="724"/>
      <c r="AT292" s="724"/>
      <c r="AU292" s="724"/>
      <c r="AV292" s="634"/>
      <c r="AW292" s="108"/>
      <c r="AX292" s="725"/>
      <c r="AY292" s="53"/>
      <c r="AZ292" s="108"/>
      <c r="BA292" s="771"/>
      <c r="BB292" s="108"/>
      <c r="BC292" s="724"/>
      <c r="BD292" s="724"/>
      <c r="BE292" s="724"/>
      <c r="BF292" s="634"/>
      <c r="BG292" s="108"/>
      <c r="BH292" s="725"/>
      <c r="BI292" s="725"/>
      <c r="BJ292" s="725"/>
      <c r="BK292" s="725"/>
      <c r="BL292" s="634"/>
      <c r="BM292" s="724"/>
      <c r="BN292" s="475"/>
      <c r="BO292" s="475"/>
      <c r="BP292" s="10"/>
      <c r="BY292" s="14">
        <v>9.9860000000000007</v>
      </c>
    </row>
    <row r="293" spans="1:77" s="437" customFormat="1" ht="15" customHeight="1" x14ac:dyDescent="0.15">
      <c r="A293" s="783" t="str">
        <f>'r-in'!A247</f>
        <v>198_U</v>
      </c>
      <c r="B293" s="258" t="s">
        <v>1133</v>
      </c>
      <c r="C293" s="567">
        <f>'r-in'!P247</f>
        <v>3329.8364940224542</v>
      </c>
      <c r="D293" s="567">
        <f>'r-in'!Q247</f>
        <v>5.0598263769597533</v>
      </c>
      <c r="E293" s="568">
        <f>'r-in'!R247</f>
        <v>2875373.7102145841</v>
      </c>
      <c r="F293" s="567">
        <f>'r-in'!S247</f>
        <v>0.81016591592992182</v>
      </c>
      <c r="G293" s="568">
        <f>'r-in'!T247</f>
        <v>2496.5091427401985</v>
      </c>
      <c r="H293" s="567">
        <f>'r-in'!U247</f>
        <v>18.550426975319002</v>
      </c>
      <c r="I293" s="568">
        <f>'r-in'!V247</f>
        <v>2948.7400551249511</v>
      </c>
      <c r="J293" s="567">
        <f>'r-in'!W247</f>
        <v>7.6826613717867662</v>
      </c>
      <c r="K293" s="568">
        <f>'r-in'!X247</f>
        <v>13188529.82642513</v>
      </c>
      <c r="L293" s="567">
        <f>'r-in'!Y247</f>
        <v>0.81696277144757234</v>
      </c>
      <c r="M293" s="568">
        <f>'r-in'!Z247</f>
        <v>1878.1457888965547</v>
      </c>
      <c r="N293" s="567">
        <f>'r-in'!AA247</f>
        <v>12.903885397835836</v>
      </c>
      <c r="O293" s="568">
        <f>'r-in'!AB247</f>
        <v>2839152.055912158</v>
      </c>
      <c r="P293" s="567">
        <f>'r-in'!AC247</f>
        <v>0.82150901593666392</v>
      </c>
      <c r="Q293" s="568">
        <f>'r-in'!AD247</f>
        <v>13115065.074115768</v>
      </c>
      <c r="R293" s="567">
        <f>'r-in'!AE247</f>
        <v>0.82153226529817469</v>
      </c>
      <c r="S293" s="588">
        <f>'r-in'!AF247</f>
        <v>4.6142303268359051</v>
      </c>
      <c r="T293" s="588">
        <f>'r-in'!AG247</f>
        <v>1.1154759655988956E-2</v>
      </c>
      <c r="U293" s="588">
        <f>'r-in'!AH247</f>
        <v>4.6193555999430265</v>
      </c>
      <c r="V293" s="588">
        <f>'r-in'!AI247</f>
        <v>1.2451388177516256E-2</v>
      </c>
      <c r="W293" s="569">
        <v>198</v>
      </c>
      <c r="X293" s="776">
        <f t="shared" si="115"/>
        <v>0.88285753711662396</v>
      </c>
      <c r="Y293" s="610">
        <f t="shared" si="117"/>
        <v>4.0782329080315849</v>
      </c>
      <c r="Z293" s="639">
        <f t="shared" si="118"/>
        <v>1.1154759655988956E-2</v>
      </c>
      <c r="AA293" s="666">
        <f t="shared" si="120"/>
        <v>5.8534734323800741</v>
      </c>
      <c r="AB293" s="667">
        <f t="shared" si="121"/>
        <v>0.11220053745275571</v>
      </c>
      <c r="AC293" s="570">
        <v>1</v>
      </c>
      <c r="AD293" s="787">
        <f t="shared" si="116"/>
        <v>7.1336235325154998E-2</v>
      </c>
      <c r="AE293" s="571">
        <v>285</v>
      </c>
      <c r="AF293" s="571">
        <v>14</v>
      </c>
      <c r="AG293" s="571">
        <v>2.1</v>
      </c>
      <c r="AH293" s="572">
        <f t="shared" si="119"/>
        <v>4.306211152754531</v>
      </c>
      <c r="AI293" s="742">
        <f t="shared" si="122"/>
        <v>6982.9856402261039</v>
      </c>
      <c r="AJ293" s="742"/>
      <c r="AK293" s="742"/>
      <c r="AL293" s="788">
        <f>AGaverage(AA293:AA308)</f>
        <v>6.2167768074231482</v>
      </c>
      <c r="AM293" s="788">
        <f>STDEV(AA293:AA308)/(COUNT(AA293:AA308)-1)^0.5</f>
        <v>6.5874300631852983E-2</v>
      </c>
      <c r="AN293" s="573"/>
      <c r="AP293" s="240"/>
      <c r="AQ293" s="570"/>
      <c r="AR293" s="241"/>
      <c r="AS293" s="723"/>
      <c r="AT293" s="777"/>
      <c r="AU293" s="777"/>
      <c r="AV293" s="778"/>
      <c r="AW293" s="570"/>
      <c r="AX293" s="723"/>
      <c r="AY293" s="240"/>
      <c r="AZ293" s="570"/>
      <c r="BA293" s="770"/>
      <c r="BB293" s="570"/>
      <c r="BC293" s="723"/>
      <c r="BD293" s="723"/>
      <c r="BE293" s="723"/>
      <c r="BF293" s="624"/>
      <c r="BG293" s="570"/>
      <c r="BH293" s="769"/>
      <c r="BI293" s="769"/>
      <c r="BJ293" s="769"/>
      <c r="BK293" s="769"/>
      <c r="BL293" s="769"/>
      <c r="BM293" s="769"/>
      <c r="BN293" s="574"/>
      <c r="BO293" s="574"/>
      <c r="BP293" s="574"/>
      <c r="BY293" s="437">
        <v>9.9860000000000007</v>
      </c>
    </row>
    <row r="294" spans="1:77" ht="15" customHeight="1" x14ac:dyDescent="0.15">
      <c r="A294" s="782" t="str">
        <f>'r-in'!A248</f>
        <v>199_U</v>
      </c>
      <c r="B294" s="258" t="s">
        <v>1133</v>
      </c>
      <c r="C294" s="162">
        <f>'r-in'!P248</f>
        <v>3578.5867062533403</v>
      </c>
      <c r="D294" s="162">
        <f>'r-in'!Q248</f>
        <v>5.2818285148740696</v>
      </c>
      <c r="E294" s="81">
        <f>'r-in'!R248</f>
        <v>2473948.9155760845</v>
      </c>
      <c r="F294" s="162">
        <f>'r-in'!S248</f>
        <v>0.95111727849245431</v>
      </c>
      <c r="G294" s="81">
        <f>'r-in'!T248</f>
        <v>2753.7825174369445</v>
      </c>
      <c r="H294" s="162">
        <f>'r-in'!U248</f>
        <v>19.777828994636302</v>
      </c>
      <c r="I294" s="81">
        <f>'r-in'!V248</f>
        <v>3201.3880715727341</v>
      </c>
      <c r="J294" s="162">
        <f>'r-in'!W248</f>
        <v>8.2187453580519616</v>
      </c>
      <c r="K294" s="81">
        <f>'r-in'!X248</f>
        <v>11338887.48776613</v>
      </c>
      <c r="L294" s="162">
        <f>'r-in'!Y248</f>
        <v>0.95951857284961461</v>
      </c>
      <c r="M294" s="81">
        <f>'r-in'!Z248</f>
        <v>2831.5708382469361</v>
      </c>
      <c r="N294" s="162">
        <f>'r-in'!AA248</f>
        <v>8.5231201831401258</v>
      </c>
      <c r="O294" s="81">
        <f>'r-in'!AB248</f>
        <v>2437610.9967414211</v>
      </c>
      <c r="P294" s="162">
        <f>'r-in'!AC248</f>
        <v>0.96368887220152832</v>
      </c>
      <c r="Q294" s="81">
        <f>'r-in'!AD248</f>
        <v>11264970.92506434</v>
      </c>
      <c r="R294" s="162">
        <f>'r-in'!AE248</f>
        <v>0.96576485345734453</v>
      </c>
      <c r="S294" s="157">
        <f>'r-in'!AF248</f>
        <v>4.6150575911080374</v>
      </c>
      <c r="T294" s="157">
        <f>'r-in'!AG248</f>
        <v>9.6804646623471664E-3</v>
      </c>
      <c r="U294" s="157">
        <f>'r-in'!AH248</f>
        <v>4.6212574078429602</v>
      </c>
      <c r="V294" s="157">
        <f>'r-in'!AI248</f>
        <v>1.0624945207780684E-2</v>
      </c>
      <c r="W294" s="158">
        <v>199</v>
      </c>
      <c r="X294" s="764">
        <f t="shared" si="115"/>
        <v>0.88286875144995092</v>
      </c>
      <c r="Y294" s="387">
        <f t="shared" si="117"/>
        <v>4.0799637577911509</v>
      </c>
      <c r="Z294" s="640">
        <f t="shared" si="118"/>
        <v>9.6804646623471664E-3</v>
      </c>
      <c r="AA294" s="473">
        <f t="shared" si="120"/>
        <v>6.2803694145150413</v>
      </c>
      <c r="AB294" s="478">
        <f t="shared" si="121"/>
        <v>9.7412615565284355E-2</v>
      </c>
      <c r="AC294" s="108">
        <v>1</v>
      </c>
      <c r="AD294" s="159">
        <f t="shared" si="116"/>
        <v>7.1336235325154998E-2</v>
      </c>
      <c r="AE294" s="160">
        <v>285</v>
      </c>
      <c r="AF294" s="160">
        <v>14</v>
      </c>
      <c r="AG294" s="160">
        <v>2.1</v>
      </c>
      <c r="AH294" s="303">
        <f t="shared" si="119"/>
        <v>3.700717921595146</v>
      </c>
      <c r="AI294" s="86">
        <f t="shared" si="122"/>
        <v>3978.3468500610202</v>
      </c>
      <c r="AJ294" s="86"/>
      <c r="AK294" s="86"/>
      <c r="AL294" s="775"/>
      <c r="AM294" s="775"/>
      <c r="AN294" s="536"/>
      <c r="AP294" s="53"/>
      <c r="AQ294" s="108"/>
      <c r="AR294" s="108"/>
      <c r="AS294" s="724"/>
      <c r="AT294" s="724"/>
      <c r="AU294" s="724"/>
      <c r="AV294" s="634"/>
      <c r="AW294" s="108"/>
      <c r="AX294" s="725"/>
      <c r="AY294" s="53"/>
      <c r="AZ294" s="108"/>
      <c r="BA294" s="771"/>
      <c r="BB294" s="108"/>
      <c r="BC294" s="724"/>
      <c r="BD294" s="724"/>
      <c r="BE294" s="724"/>
      <c r="BF294" s="634"/>
      <c r="BG294" s="108"/>
      <c r="BH294" s="725"/>
      <c r="BI294" s="725"/>
      <c r="BJ294" s="725"/>
      <c r="BK294" s="725"/>
      <c r="BL294" s="634"/>
      <c r="BM294" s="724"/>
      <c r="BN294" s="475"/>
      <c r="BO294" s="475"/>
      <c r="BP294" s="10"/>
      <c r="BY294" s="14">
        <v>9.9860000000000007</v>
      </c>
    </row>
    <row r="295" spans="1:77" ht="15" customHeight="1" x14ac:dyDescent="0.15">
      <c r="A295" s="782" t="str">
        <f>'r-in'!A249</f>
        <v>200_U</v>
      </c>
      <c r="B295" s="258" t="s">
        <v>1133</v>
      </c>
      <c r="C295" s="162">
        <f>'r-in'!P249</f>
        <v>3330.6152749246494</v>
      </c>
      <c r="D295" s="162">
        <f>'r-in'!Q249</f>
        <v>4.8100786891601803</v>
      </c>
      <c r="E295" s="81">
        <f>'r-in'!R249</f>
        <v>2766111.0239996552</v>
      </c>
      <c r="F295" s="162">
        <f>'r-in'!S249</f>
        <v>0.41379765982982053</v>
      </c>
      <c r="G295" s="81">
        <f>'r-in'!T249</f>
        <v>413.84844756258354</v>
      </c>
      <c r="H295" s="162">
        <f>'r-in'!U249</f>
        <v>123.38816698500214</v>
      </c>
      <c r="I295" s="81">
        <f>'r-in'!V249</f>
        <v>1996.7223584235169</v>
      </c>
      <c r="J295" s="162">
        <f>'r-in'!W249</f>
        <v>12.644987953924913</v>
      </c>
      <c r="K295" s="81">
        <f>'r-in'!X249</f>
        <v>12685921.037526717</v>
      </c>
      <c r="L295" s="162">
        <f>'r-in'!Y249</f>
        <v>0.41664712045756819</v>
      </c>
      <c r="M295" s="81">
        <f>'r-in'!Z249</f>
        <v>3005.44280453692</v>
      </c>
      <c r="N295" s="162">
        <f>'r-in'!AA249</f>
        <v>8.9547850372674613</v>
      </c>
      <c r="O295" s="81">
        <f>'r-in'!AB249</f>
        <v>2730871.3375552697</v>
      </c>
      <c r="P295" s="162">
        <f>'r-in'!AC249</f>
        <v>0.41948815958456925</v>
      </c>
      <c r="Q295" s="81">
        <f>'r-in'!AD249</f>
        <v>12611572.887296701</v>
      </c>
      <c r="R295" s="162">
        <f>'r-in'!AE249</f>
        <v>0.41877981840101103</v>
      </c>
      <c r="S295" s="157">
        <f>'r-in'!AF249</f>
        <v>4.6148821910409854</v>
      </c>
      <c r="T295" s="157">
        <f>'r-in'!AG249</f>
        <v>9.708869975451442E-3</v>
      </c>
      <c r="U295" s="157">
        <f>'r-in'!AH249</f>
        <v>4.6181611463076742</v>
      </c>
      <c r="V295" s="157">
        <f>'r-in'!AI249</f>
        <v>1.1576630744986719E-2</v>
      </c>
      <c r="W295" s="158">
        <v>200</v>
      </c>
      <c r="X295" s="764">
        <f t="shared" si="115"/>
        <v>0.88287980298470081</v>
      </c>
      <c r="Y295" s="387">
        <f t="shared" si="117"/>
        <v>4.0772812030037198</v>
      </c>
      <c r="Z295" s="640">
        <f t="shared" si="118"/>
        <v>9.708869975451442E-3</v>
      </c>
      <c r="AA295" s="473">
        <f t="shared" si="120"/>
        <v>5.6187453455962544</v>
      </c>
      <c r="AB295" s="478">
        <f t="shared" si="121"/>
        <v>9.7634216434494547E-2</v>
      </c>
      <c r="AC295" s="108">
        <v>1</v>
      </c>
      <c r="AD295" s="159">
        <f t="shared" si="116"/>
        <v>7.1336235325154998E-2</v>
      </c>
      <c r="AE295" s="160">
        <v>285</v>
      </c>
      <c r="AF295" s="160">
        <v>14</v>
      </c>
      <c r="AG295" s="160">
        <v>2.1</v>
      </c>
      <c r="AH295" s="303">
        <f t="shared" si="119"/>
        <v>4.1453184593060195</v>
      </c>
      <c r="AI295" s="86">
        <f t="shared" si="122"/>
        <v>4196.244516201964</v>
      </c>
      <c r="AJ295" s="86"/>
      <c r="AK295" s="86"/>
      <c r="AL295" s="86"/>
      <c r="AM295" s="86"/>
      <c r="AN295" s="536"/>
      <c r="AP295" s="53"/>
      <c r="AQ295" s="108"/>
      <c r="AR295" s="110"/>
      <c r="AS295" s="724"/>
      <c r="AT295" s="750"/>
      <c r="AU295" s="750"/>
      <c r="AV295" s="751"/>
      <c r="AW295" s="108"/>
      <c r="AX295" s="724"/>
      <c r="AY295" s="53"/>
      <c r="AZ295" s="108"/>
      <c r="BA295" s="771"/>
      <c r="BB295" s="108"/>
      <c r="BC295" s="724"/>
      <c r="BD295" s="724"/>
      <c r="BE295" s="724"/>
      <c r="BF295" s="634"/>
      <c r="BG295" s="108"/>
      <c r="BH295" s="725"/>
      <c r="BI295" s="725"/>
      <c r="BJ295" s="725"/>
      <c r="BK295" s="725"/>
      <c r="BL295" s="725"/>
      <c r="BM295" s="725"/>
      <c r="BN295" s="475"/>
      <c r="BO295" s="475"/>
      <c r="BP295" s="475"/>
      <c r="BY295" s="14">
        <v>9.9860000000000007</v>
      </c>
    </row>
    <row r="296" spans="1:77" ht="15" customHeight="1" x14ac:dyDescent="0.15">
      <c r="A296" s="782" t="str">
        <f>'r-in'!A250</f>
        <v>209_U</v>
      </c>
      <c r="B296" s="258" t="s">
        <v>1133</v>
      </c>
      <c r="C296" s="162">
        <f>'r-in'!P250</f>
        <v>3767.4715271050004</v>
      </c>
      <c r="D296" s="162">
        <f>'r-in'!Q250</f>
        <v>4.3522857379010356</v>
      </c>
      <c r="E296" s="81">
        <f>'r-in'!R250</f>
        <v>2873729.1023793742</v>
      </c>
      <c r="F296" s="162">
        <f>'r-in'!S250</f>
        <v>0.36194956703343378</v>
      </c>
      <c r="G296" s="81">
        <f>'r-in'!T250</f>
        <v>2280.6119501274711</v>
      </c>
      <c r="H296" s="162">
        <f>'r-in'!U250</f>
        <v>25.751957300856809</v>
      </c>
      <c r="I296" s="81">
        <f>'r-in'!V250</f>
        <v>3087.5023780606434</v>
      </c>
      <c r="J296" s="162">
        <f>'r-in'!W250</f>
        <v>9.0838375698876046</v>
      </c>
      <c r="K296" s="81">
        <f>'r-in'!X250</f>
        <v>13186523.736778064</v>
      </c>
      <c r="L296" s="162">
        <f>'r-in'!Y250</f>
        <v>0.36175502141550459</v>
      </c>
      <c r="M296" s="81">
        <f>'r-in'!Z250</f>
        <v>2620.5493960038712</v>
      </c>
      <c r="N296" s="162">
        <f>'r-in'!AA250</f>
        <v>7.7789598173467951</v>
      </c>
      <c r="O296" s="81">
        <f>'r-in'!AB250</f>
        <v>2838441.3472533054</v>
      </c>
      <c r="P296" s="162">
        <f>'r-in'!AC250</f>
        <v>0.36443348525481517</v>
      </c>
      <c r="Q296" s="81">
        <f>'r-in'!AD250</f>
        <v>13115496.008410783</v>
      </c>
      <c r="R296" s="162">
        <f>'r-in'!AE250</f>
        <v>0.36345955403920105</v>
      </c>
      <c r="S296" s="157">
        <f>'r-in'!AF250</f>
        <v>4.6155089464207038</v>
      </c>
      <c r="T296" s="157">
        <f>'r-in'!AG250</f>
        <v>9.8429189603184593E-3</v>
      </c>
      <c r="U296" s="157">
        <f>'r-in'!AH250</f>
        <v>4.6206829600293897</v>
      </c>
      <c r="V296" s="157">
        <f>'r-in'!AI250</f>
        <v>1.1347931709268537E-2</v>
      </c>
      <c r="W296" s="158">
        <v>209</v>
      </c>
      <c r="X296" s="764">
        <f t="shared" si="115"/>
        <v>0.88297248549100316</v>
      </c>
      <c r="Y296" s="387">
        <f t="shared" si="117"/>
        <v>4.0799359178830761</v>
      </c>
      <c r="Z296" s="640">
        <f t="shared" si="118"/>
        <v>9.8429189603184593E-3</v>
      </c>
      <c r="AA296" s="473">
        <f t="shared" si="120"/>
        <v>6.2735029924962937</v>
      </c>
      <c r="AB296" s="478">
        <f t="shared" si="121"/>
        <v>9.9046685418713309E-2</v>
      </c>
      <c r="AC296" s="108">
        <v>1</v>
      </c>
      <c r="AD296" s="159">
        <f t="shared" si="116"/>
        <v>7.1336235325154998E-2</v>
      </c>
      <c r="AE296" s="160">
        <v>285</v>
      </c>
      <c r="AF296" s="160">
        <v>14</v>
      </c>
      <c r="AG296" s="160">
        <v>2.1</v>
      </c>
      <c r="AH296" s="303">
        <f t="shared" si="119"/>
        <v>4.3326955248442216</v>
      </c>
      <c r="AI296" s="86">
        <f t="shared" si="122"/>
        <v>5004.8650212092434</v>
      </c>
      <c r="AJ296" s="86"/>
      <c r="AK296" s="86"/>
      <c r="AL296" s="775"/>
      <c r="AM296" s="775"/>
      <c r="AN296" s="536"/>
      <c r="AP296" s="53"/>
      <c r="AQ296" s="108"/>
      <c r="AR296" s="108"/>
      <c r="AS296" s="724"/>
      <c r="AT296" s="724"/>
      <c r="AU296" s="724"/>
      <c r="AV296" s="634"/>
      <c r="AW296" s="108"/>
      <c r="AX296" s="725"/>
      <c r="AY296" s="53"/>
      <c r="AZ296" s="108"/>
      <c r="BA296" s="771"/>
      <c r="BB296" s="108"/>
      <c r="BC296" s="724"/>
      <c r="BD296" s="724"/>
      <c r="BE296" s="724"/>
      <c r="BF296" s="634"/>
      <c r="BG296" s="108"/>
      <c r="BH296" s="725"/>
      <c r="BI296" s="725"/>
      <c r="BJ296" s="725"/>
      <c r="BK296" s="725"/>
      <c r="BL296" s="634"/>
      <c r="BM296" s="724"/>
      <c r="BN296" s="475"/>
      <c r="BO296" s="475"/>
      <c r="BP296" s="10"/>
      <c r="BY296" s="14">
        <v>9.9860000000000007</v>
      </c>
    </row>
    <row r="297" spans="1:77" ht="15" customHeight="1" x14ac:dyDescent="0.15">
      <c r="A297" s="782" t="str">
        <f>'r-in'!A251</f>
        <v>210_U</v>
      </c>
      <c r="B297" s="258" t="s">
        <v>1133</v>
      </c>
      <c r="C297" s="162">
        <f>'r-in'!P251</f>
        <v>3969.3727170194693</v>
      </c>
      <c r="D297" s="162">
        <f>'r-in'!Q251</f>
        <v>4.6440687259130744</v>
      </c>
      <c r="E297" s="81">
        <f>'r-in'!R251</f>
        <v>2801591.0994588281</v>
      </c>
      <c r="F297" s="162">
        <f>'r-in'!S251</f>
        <v>0.29422640332375177</v>
      </c>
      <c r="G297" s="81">
        <f>'r-in'!T251</f>
        <v>1213.8200313996135</v>
      </c>
      <c r="H297" s="162">
        <f>'r-in'!U251</f>
        <v>54.598428861873046</v>
      </c>
      <c r="I297" s="81">
        <f>'r-in'!V251</f>
        <v>2709.2060921411162</v>
      </c>
      <c r="J297" s="162">
        <f>'r-in'!W251</f>
        <v>12.049607886002448</v>
      </c>
      <c r="K297" s="81">
        <f>'r-in'!X251</f>
        <v>12851452.798269389</v>
      </c>
      <c r="L297" s="162">
        <f>'r-in'!Y251</f>
        <v>0.29568295492583813</v>
      </c>
      <c r="M297" s="81">
        <f>'r-in'!Z251</f>
        <v>2091.0180049956639</v>
      </c>
      <c r="N297" s="162">
        <f>'r-in'!AA251</f>
        <v>10.223503048226553</v>
      </c>
      <c r="O297" s="81">
        <f>'r-in'!AB251</f>
        <v>2766509.9807420503</v>
      </c>
      <c r="P297" s="162">
        <f>'r-in'!AC251</f>
        <v>0.30011719453334429</v>
      </c>
      <c r="Q297" s="81">
        <f>'r-in'!AD251</f>
        <v>12780795.678212155</v>
      </c>
      <c r="R297" s="162">
        <f>'r-in'!AE251</f>
        <v>0.29700479243611061</v>
      </c>
      <c r="S297" s="157">
        <f>'r-in'!AF251</f>
        <v>4.6152552462036942</v>
      </c>
      <c r="T297" s="157">
        <f>'r-in'!AG251</f>
        <v>1.007785772356022E-2</v>
      </c>
      <c r="U297" s="157">
        <f>'r-in'!AH251</f>
        <v>4.6198596066978279</v>
      </c>
      <c r="V297" s="157">
        <f>'r-in'!AI251</f>
        <v>1.255945258482858E-2</v>
      </c>
      <c r="W297" s="158">
        <v>210</v>
      </c>
      <c r="X297" s="764">
        <f t="shared" si="115"/>
        <v>0.88298209709324449</v>
      </c>
      <c r="Y297" s="387">
        <f t="shared" si="117"/>
        <v>4.0792533237984197</v>
      </c>
      <c r="Z297" s="640">
        <f t="shared" si="118"/>
        <v>1.007785772356022E-2</v>
      </c>
      <c r="AA297" s="473">
        <f t="shared" si="120"/>
        <v>6.1051483039633592</v>
      </c>
      <c r="AB297" s="478">
        <f t="shared" si="121"/>
        <v>0.10139384539553653</v>
      </c>
      <c r="AC297" s="108">
        <v>1</v>
      </c>
      <c r="AD297" s="159">
        <f t="shared" si="116"/>
        <v>7.1336235325154998E-2</v>
      </c>
      <c r="AE297" s="160">
        <v>285</v>
      </c>
      <c r="AF297" s="160">
        <v>14</v>
      </c>
      <c r="AG297" s="160">
        <v>2.1</v>
      </c>
      <c r="AH297" s="303">
        <f t="shared" si="119"/>
        <v>4.224600435253393</v>
      </c>
      <c r="AI297" s="86">
        <f t="shared" si="122"/>
        <v>6112.2360724190212</v>
      </c>
      <c r="AJ297" s="86"/>
      <c r="AK297" s="86"/>
      <c r="AL297" s="86"/>
      <c r="AM297" s="86"/>
      <c r="AN297" s="536"/>
      <c r="AP297" s="53"/>
      <c r="AQ297" s="108"/>
      <c r="AR297" s="110"/>
      <c r="AS297" s="724"/>
      <c r="AT297" s="750"/>
      <c r="AU297" s="750"/>
      <c r="AV297" s="751"/>
      <c r="AW297" s="108"/>
      <c r="AX297" s="724"/>
      <c r="AY297" s="53"/>
      <c r="AZ297" s="108"/>
      <c r="BA297" s="771"/>
      <c r="BB297" s="108"/>
      <c r="BC297" s="724"/>
      <c r="BD297" s="724"/>
      <c r="BE297" s="724"/>
      <c r="BF297" s="634"/>
      <c r="BG297" s="108"/>
      <c r="BH297" s="725"/>
      <c r="BI297" s="725"/>
      <c r="BJ297" s="725"/>
      <c r="BK297" s="725"/>
      <c r="BL297" s="725"/>
      <c r="BM297" s="725"/>
      <c r="BN297" s="475"/>
      <c r="BO297" s="475"/>
      <c r="BP297" s="475"/>
      <c r="BY297" s="14">
        <v>9.9860000000000007</v>
      </c>
    </row>
    <row r="298" spans="1:77" ht="15" customHeight="1" x14ac:dyDescent="0.15">
      <c r="A298" s="782" t="str">
        <f>'r-in'!A252</f>
        <v>211_U</v>
      </c>
      <c r="B298" s="258" t="s">
        <v>1133</v>
      </c>
      <c r="C298" s="162">
        <f>'r-in'!P252</f>
        <v>3493.4380122223561</v>
      </c>
      <c r="D298" s="162">
        <f>'r-in'!Q252</f>
        <v>4.7919611724365829</v>
      </c>
      <c r="E298" s="81">
        <f>'r-in'!R252</f>
        <v>3059258.0499495021</v>
      </c>
      <c r="F298" s="162">
        <f>'r-in'!S252</f>
        <v>1.3448971819284818</v>
      </c>
      <c r="G298" s="81">
        <f>'r-in'!T252</f>
        <v>2775.6874867656029</v>
      </c>
      <c r="H298" s="162">
        <f>'r-in'!U252</f>
        <v>21.038435031020754</v>
      </c>
      <c r="I298" s="81">
        <f>'r-in'!V252</f>
        <v>3165.1970528352776</v>
      </c>
      <c r="J298" s="162">
        <f>'r-in'!W252</f>
        <v>9.0041803968504635</v>
      </c>
      <c r="K298" s="81">
        <f>'r-in'!X252</f>
        <v>14042785.094726767</v>
      </c>
      <c r="L298" s="162">
        <f>'r-in'!Y252</f>
        <v>1.3539141398851411</v>
      </c>
      <c r="M298" s="81">
        <f>'r-in'!Z252</f>
        <v>2038.742938790055</v>
      </c>
      <c r="N298" s="162">
        <f>'r-in'!AA252</f>
        <v>11.670380948549022</v>
      </c>
      <c r="O298" s="81">
        <f>'r-in'!AB252</f>
        <v>3023390.507937198</v>
      </c>
      <c r="P298" s="162">
        <f>'r-in'!AC252</f>
        <v>1.3613552971702614</v>
      </c>
      <c r="Q298" s="81">
        <f>'r-in'!AD252</f>
        <v>13971549.394988034</v>
      </c>
      <c r="R298" s="162">
        <f>'r-in'!AE252</f>
        <v>1.3608070752405952</v>
      </c>
      <c r="S298" s="157">
        <f>'r-in'!AF252</f>
        <v>4.6164603854775796</v>
      </c>
      <c r="T298" s="157">
        <f>'r-in'!AG252</f>
        <v>8.688956358940134E-3</v>
      </c>
      <c r="U298" s="157">
        <f>'r-in'!AH252</f>
        <v>4.621182509029687</v>
      </c>
      <c r="V298" s="157">
        <f>'r-in'!AI252</f>
        <v>1.3350253503688164E-2</v>
      </c>
      <c r="W298" s="158">
        <v>211</v>
      </c>
      <c r="X298" s="764">
        <f t="shared" si="115"/>
        <v>0.88299158611164952</v>
      </c>
      <c r="Y298" s="387">
        <f t="shared" si="117"/>
        <v>4.0804652733595352</v>
      </c>
      <c r="Z298" s="640">
        <f t="shared" si="118"/>
        <v>8.688956358940134E-3</v>
      </c>
      <c r="AA298" s="473">
        <f t="shared" si="120"/>
        <v>6.4040629817574413</v>
      </c>
      <c r="AB298" s="478">
        <f t="shared" si="121"/>
        <v>8.7446009827241156E-2</v>
      </c>
      <c r="AC298" s="108">
        <v>1</v>
      </c>
      <c r="AD298" s="159">
        <f t="shared" si="116"/>
        <v>7.1336235325154998E-2</v>
      </c>
      <c r="AE298" s="160">
        <v>285</v>
      </c>
      <c r="AF298" s="160">
        <v>14</v>
      </c>
      <c r="AG298" s="160">
        <v>2.1</v>
      </c>
      <c r="AH298" s="303">
        <f t="shared" si="119"/>
        <v>4.6209282945001782</v>
      </c>
      <c r="AI298" s="86">
        <f t="shared" si="122"/>
        <v>6853.0215993193406</v>
      </c>
      <c r="AJ298" s="86"/>
      <c r="AK298" s="86"/>
      <c r="AL298" s="775"/>
      <c r="AM298" s="775"/>
      <c r="AN298" s="536"/>
      <c r="AP298" s="53"/>
      <c r="AQ298" s="108"/>
      <c r="AR298" s="108"/>
      <c r="AS298" s="724"/>
      <c r="AT298" s="724"/>
      <c r="AU298" s="724"/>
      <c r="AV298" s="634"/>
      <c r="AW298" s="108"/>
      <c r="AX298" s="725"/>
      <c r="AY298" s="53"/>
      <c r="AZ298" s="108"/>
      <c r="BA298" s="771"/>
      <c r="BB298" s="108"/>
      <c r="BC298" s="724"/>
      <c r="BD298" s="724"/>
      <c r="BE298" s="724"/>
      <c r="BF298" s="634"/>
      <c r="BG298" s="108"/>
      <c r="BH298" s="725"/>
      <c r="BI298" s="725"/>
      <c r="BJ298" s="725"/>
      <c r="BK298" s="725"/>
      <c r="BL298" s="634"/>
      <c r="BM298" s="724"/>
      <c r="BN298" s="475"/>
      <c r="BO298" s="475"/>
      <c r="BP298" s="10"/>
      <c r="BY298" s="14">
        <v>9.9860000000000007</v>
      </c>
    </row>
    <row r="299" spans="1:77" ht="15" customHeight="1" x14ac:dyDescent="0.15">
      <c r="A299" s="782" t="str">
        <f>'r-in'!A253</f>
        <v>212_U</v>
      </c>
      <c r="B299" s="258" t="s">
        <v>1133</v>
      </c>
      <c r="C299" s="162">
        <f>'r-in'!P253</f>
        <v>3417.2188808596306</v>
      </c>
      <c r="D299" s="162">
        <f>'r-in'!Q253</f>
        <v>6.0226368734545126</v>
      </c>
      <c r="E299" s="81">
        <f>'r-in'!R253</f>
        <v>2892225.7710314789</v>
      </c>
      <c r="F299" s="162">
        <f>'r-in'!S253</f>
        <v>0.67462180605630373</v>
      </c>
      <c r="G299" s="81">
        <f>'r-in'!T253</f>
        <v>1776.708737201973</v>
      </c>
      <c r="H299" s="162">
        <f>'r-in'!U253</f>
        <v>31.282605868492709</v>
      </c>
      <c r="I299" s="81">
        <f>'r-in'!V253</f>
        <v>2666.982406848344</v>
      </c>
      <c r="J299" s="162">
        <f>'r-in'!W253</f>
        <v>9.9374108669418089</v>
      </c>
      <c r="K299" s="81">
        <f>'r-in'!X253</f>
        <v>13269413.418900609</v>
      </c>
      <c r="L299" s="162">
        <f>'r-in'!Y253</f>
        <v>0.67745520802972259</v>
      </c>
      <c r="M299" s="81">
        <f>'r-in'!Z253</f>
        <v>3098.0951651558416</v>
      </c>
      <c r="N299" s="162">
        <f>'r-in'!AA253</f>
        <v>7.3081179185490406</v>
      </c>
      <c r="O299" s="81">
        <f>'r-in'!AB253</f>
        <v>2856670.6997621418</v>
      </c>
      <c r="P299" s="162">
        <f>'r-in'!AC253</f>
        <v>0.68316683399174472</v>
      </c>
      <c r="Q299" s="81">
        <f>'r-in'!AD253</f>
        <v>13196674.300355414</v>
      </c>
      <c r="R299" s="162">
        <f>'r-in'!AE253</f>
        <v>0.68072536137367057</v>
      </c>
      <c r="S299" s="157">
        <f>'r-in'!AF253</f>
        <v>4.6149352068810563</v>
      </c>
      <c r="T299" s="157">
        <f>'r-in'!AG253</f>
        <v>1.0318973821540995E-2</v>
      </c>
      <c r="U299" s="157">
        <f>'r-in'!AH253</f>
        <v>4.619661637766133</v>
      </c>
      <c r="V299" s="157">
        <f>'r-in'!AI253</f>
        <v>1.36615032511726E-2</v>
      </c>
      <c r="W299" s="158">
        <v>212</v>
      </c>
      <c r="X299" s="764">
        <f t="shared" si="115"/>
        <v>0.88300095691232949</v>
      </c>
      <c r="Y299" s="387">
        <f t="shared" si="117"/>
        <v>4.0791656467586748</v>
      </c>
      <c r="Z299" s="640">
        <f t="shared" si="118"/>
        <v>1.0318973821540995E-2</v>
      </c>
      <c r="AA299" s="473">
        <f t="shared" si="120"/>
        <v>6.08352367953513</v>
      </c>
      <c r="AB299" s="478">
        <f t="shared" si="121"/>
        <v>0.10381749543153518</v>
      </c>
      <c r="AC299" s="108">
        <v>1</v>
      </c>
      <c r="AD299" s="159">
        <f t="shared" si="116"/>
        <v>7.1336235325154998E-2</v>
      </c>
      <c r="AE299" s="160">
        <v>285</v>
      </c>
      <c r="AF299" s="160">
        <v>14</v>
      </c>
      <c r="AG299" s="160">
        <v>2.1</v>
      </c>
      <c r="AH299" s="303">
        <f t="shared" si="119"/>
        <v>4.3672571843116508</v>
      </c>
      <c r="AI299" s="86">
        <f t="shared" si="122"/>
        <v>4259.6090813406599</v>
      </c>
      <c r="AJ299" s="86"/>
      <c r="AK299" s="86"/>
      <c r="AL299" s="86"/>
      <c r="AM299" s="86"/>
      <c r="AN299" s="536"/>
      <c r="AP299" s="53"/>
      <c r="AQ299" s="108"/>
      <c r="AR299" s="110"/>
      <c r="AS299" s="724"/>
      <c r="AT299" s="750"/>
      <c r="AU299" s="750"/>
      <c r="AV299" s="751"/>
      <c r="AW299" s="108"/>
      <c r="AX299" s="724"/>
      <c r="AY299" s="53"/>
      <c r="AZ299" s="108"/>
      <c r="BA299" s="771"/>
      <c r="BB299" s="108"/>
      <c r="BC299" s="724"/>
      <c r="BD299" s="724"/>
      <c r="BE299" s="724"/>
      <c r="BF299" s="634"/>
      <c r="BG299" s="108"/>
      <c r="BH299" s="725"/>
      <c r="BI299" s="725"/>
      <c r="BJ299" s="725"/>
      <c r="BK299" s="725"/>
      <c r="BL299" s="725"/>
      <c r="BM299" s="725"/>
      <c r="BN299" s="475"/>
      <c r="BO299" s="475"/>
      <c r="BP299" s="475"/>
      <c r="BY299" s="14">
        <v>9.9860000000000007</v>
      </c>
    </row>
    <row r="300" spans="1:77" ht="15" customHeight="1" x14ac:dyDescent="0.15">
      <c r="A300" s="782" t="str">
        <f>'r-in'!A254</f>
        <v>213_U</v>
      </c>
      <c r="B300" s="258" t="s">
        <v>1133</v>
      </c>
      <c r="C300" s="162">
        <f>'r-in'!P254</f>
        <v>3584.9992310996113</v>
      </c>
      <c r="D300" s="162">
        <f>'r-in'!Q254</f>
        <v>4.94777647396758</v>
      </c>
      <c r="E300" s="81">
        <f>'r-in'!R254</f>
        <v>4265794.9374066871</v>
      </c>
      <c r="F300" s="162">
        <f>'r-in'!S254</f>
        <v>0.36266823276051591</v>
      </c>
      <c r="G300" s="81">
        <f>'r-in'!T254</f>
        <v>2746.1061572208982</v>
      </c>
      <c r="H300" s="162">
        <f>'r-in'!U254</f>
        <v>22.365803542829671</v>
      </c>
      <c r="I300" s="81">
        <f>'r-in'!V254</f>
        <v>3201.3574814570125</v>
      </c>
      <c r="J300" s="162">
        <f>'r-in'!W254</f>
        <v>9.372609714453354</v>
      </c>
      <c r="K300" s="81">
        <f>'r-in'!X254</f>
        <v>19616370.735646788</v>
      </c>
      <c r="L300" s="162">
        <f>'r-in'!Y254</f>
        <v>0.36495610967349762</v>
      </c>
      <c r="M300" s="81">
        <f>'r-in'!Z254</f>
        <v>2832.5532230356316</v>
      </c>
      <c r="N300" s="162">
        <f>'r-in'!AA254</f>
        <v>10.611946076717471</v>
      </c>
      <c r="O300" s="81">
        <f>'r-in'!AB254</f>
        <v>4229856.7329223948</v>
      </c>
      <c r="P300" s="162">
        <f>'r-in'!AC254</f>
        <v>0.36620175712936653</v>
      </c>
      <c r="Q300" s="81">
        <f>'r-in'!AD254</f>
        <v>19543442.135913372</v>
      </c>
      <c r="R300" s="162">
        <f>'r-in'!AE254</f>
        <v>0.36615245754902448</v>
      </c>
      <c r="S300" s="157">
        <f>'r-in'!AF254</f>
        <v>4.6165665648479672</v>
      </c>
      <c r="T300" s="157">
        <f>'r-in'!AG254</f>
        <v>6.8657942152457315E-3</v>
      </c>
      <c r="U300" s="157">
        <f>'r-in'!AH254</f>
        <v>4.6203573637736701</v>
      </c>
      <c r="V300" s="157">
        <f>'r-in'!AI254</f>
        <v>7.2962568175002351E-3</v>
      </c>
      <c r="W300" s="158">
        <v>213</v>
      </c>
      <c r="X300" s="764">
        <f t="shared" si="115"/>
        <v>0.88301021397977142</v>
      </c>
      <c r="Y300" s="387">
        <f t="shared" si="117"/>
        <v>4.0798227444488013</v>
      </c>
      <c r="Z300" s="640">
        <f t="shared" si="118"/>
        <v>6.8657942152457315E-3</v>
      </c>
      <c r="AA300" s="473">
        <f t="shared" si="120"/>
        <v>6.2455899491431488</v>
      </c>
      <c r="AB300" s="478">
        <f t="shared" si="121"/>
        <v>6.9086751505631483E-2</v>
      </c>
      <c r="AC300" s="108">
        <v>1</v>
      </c>
      <c r="AD300" s="159">
        <f t="shared" si="116"/>
        <v>7.1336235325154998E-2</v>
      </c>
      <c r="AE300" s="160">
        <v>285</v>
      </c>
      <c r="AF300" s="160">
        <v>14</v>
      </c>
      <c r="AG300" s="160">
        <v>2.1</v>
      </c>
      <c r="AH300" s="303">
        <f t="shared" si="119"/>
        <v>6.4715412201682865</v>
      </c>
      <c r="AI300" s="86">
        <f t="shared" si="122"/>
        <v>6899.5851435295444</v>
      </c>
      <c r="AJ300" s="86"/>
      <c r="AK300" s="86"/>
      <c r="AL300" s="775"/>
      <c r="AM300" s="775"/>
      <c r="AN300" s="536"/>
      <c r="AP300" s="53"/>
      <c r="AQ300" s="108"/>
      <c r="AR300" s="108"/>
      <c r="AS300" s="724"/>
      <c r="AT300" s="724"/>
      <c r="AU300" s="724"/>
      <c r="AV300" s="634"/>
      <c r="AW300" s="108"/>
      <c r="AX300" s="725"/>
      <c r="AY300" s="53"/>
      <c r="AZ300" s="108"/>
      <c r="BA300" s="771"/>
      <c r="BB300" s="108"/>
      <c r="BC300" s="724"/>
      <c r="BD300" s="724"/>
      <c r="BE300" s="724"/>
      <c r="BF300" s="634"/>
      <c r="BG300" s="108"/>
      <c r="BH300" s="725"/>
      <c r="BI300" s="725"/>
      <c r="BJ300" s="725"/>
      <c r="BK300" s="725"/>
      <c r="BL300" s="634"/>
      <c r="BM300" s="724"/>
      <c r="BN300" s="475"/>
      <c r="BO300" s="475"/>
      <c r="BP300" s="10"/>
      <c r="BY300" s="14">
        <v>9.9860000000000007</v>
      </c>
    </row>
    <row r="301" spans="1:77" ht="15" customHeight="1" x14ac:dyDescent="0.15">
      <c r="A301" s="782" t="str">
        <f>'r-in'!A255</f>
        <v>214_U</v>
      </c>
      <c r="B301" s="258" t="s">
        <v>1133</v>
      </c>
      <c r="C301" s="162">
        <f>'r-in'!P255</f>
        <v>3599.555296041714</v>
      </c>
      <c r="D301" s="162">
        <f>'r-in'!Q255</f>
        <v>4.4652925815307256</v>
      </c>
      <c r="E301" s="81">
        <f>'r-in'!R255</f>
        <v>2847599.20692774</v>
      </c>
      <c r="F301" s="162">
        <f>'r-in'!S255</f>
        <v>0.87029208056468399</v>
      </c>
      <c r="G301" s="81">
        <f>'r-in'!T255</f>
        <v>896.42256641369352</v>
      </c>
      <c r="H301" s="162">
        <f>'r-in'!U255</f>
        <v>64.220513136347307</v>
      </c>
      <c r="I301" s="81">
        <f>'r-in'!V255</f>
        <v>2363.3613135168284</v>
      </c>
      <c r="J301" s="162">
        <f>'r-in'!W255</f>
        <v>10.808624646782942</v>
      </c>
      <c r="K301" s="81">
        <f>'r-in'!X255</f>
        <v>13064481.561944205</v>
      </c>
      <c r="L301" s="162">
        <f>'r-in'!Y255</f>
        <v>0.87391677019568026</v>
      </c>
      <c r="M301" s="81">
        <f>'r-in'!Z255</f>
        <v>2528.2021684478486</v>
      </c>
      <c r="N301" s="162">
        <f>'r-in'!AA255</f>
        <v>6.8400765908431707</v>
      </c>
      <c r="O301" s="81">
        <f>'r-in'!AB255</f>
        <v>2812132.0976983565</v>
      </c>
      <c r="P301" s="162">
        <f>'r-in'!AC255</f>
        <v>0.87936331678404933</v>
      </c>
      <c r="Q301" s="81">
        <f>'r-in'!AD255</f>
        <v>12991185.236862181</v>
      </c>
      <c r="R301" s="162">
        <f>'r-in'!AE255</f>
        <v>0.87883686758305624</v>
      </c>
      <c r="S301" s="157">
        <f>'r-in'!AF255</f>
        <v>4.6160745762981206</v>
      </c>
      <c r="T301" s="157">
        <f>'r-in'!AG255</f>
        <v>9.1469477025396644E-3</v>
      </c>
      <c r="U301" s="157">
        <f>'r-in'!AH255</f>
        <v>4.619705326735752</v>
      </c>
      <c r="V301" s="157">
        <f>'r-in'!AI255</f>
        <v>1.1461926598541967E-2</v>
      </c>
      <c r="W301" s="158">
        <v>214</v>
      </c>
      <c r="X301" s="764">
        <f t="shared" si="115"/>
        <v>0.88301936191683872</v>
      </c>
      <c r="Y301" s="387">
        <f t="shared" si="117"/>
        <v>4.0792892498580242</v>
      </c>
      <c r="Z301" s="640">
        <f t="shared" si="118"/>
        <v>9.1469477025396644E-3</v>
      </c>
      <c r="AA301" s="473">
        <f t="shared" si="120"/>
        <v>6.1140090906459665</v>
      </c>
      <c r="AB301" s="478">
        <f t="shared" si="121"/>
        <v>9.2028722239456684E-2</v>
      </c>
      <c r="AC301" s="108">
        <v>1</v>
      </c>
      <c r="AD301" s="159">
        <f t="shared" si="116"/>
        <v>7.1336235325154998E-2</v>
      </c>
      <c r="AE301" s="160">
        <v>285</v>
      </c>
      <c r="AF301" s="160">
        <v>14</v>
      </c>
      <c r="AG301" s="160">
        <v>2.1</v>
      </c>
      <c r="AH301" s="303">
        <f t="shared" si="119"/>
        <v>4.3044800900183509</v>
      </c>
      <c r="AI301" s="86">
        <f t="shared" si="122"/>
        <v>5138.5072756416157</v>
      </c>
      <c r="AJ301" s="86"/>
      <c r="AK301" s="86"/>
      <c r="AL301" s="86"/>
      <c r="AM301" s="86"/>
      <c r="AN301" s="536"/>
      <c r="AP301" s="53"/>
      <c r="AQ301" s="108"/>
      <c r="AR301" s="110"/>
      <c r="AS301" s="724"/>
      <c r="AT301" s="750"/>
      <c r="AU301" s="750"/>
      <c r="AV301" s="751"/>
      <c r="AW301" s="108"/>
      <c r="AX301" s="724"/>
      <c r="AY301" s="53"/>
      <c r="AZ301" s="108"/>
      <c r="BA301" s="771"/>
      <c r="BB301" s="108"/>
      <c r="BC301" s="724"/>
      <c r="BD301" s="724"/>
      <c r="BE301" s="724"/>
      <c r="BF301" s="634"/>
      <c r="BG301" s="108"/>
      <c r="BH301" s="725"/>
      <c r="BI301" s="725"/>
      <c r="BJ301" s="725"/>
      <c r="BK301" s="725"/>
      <c r="BL301" s="725"/>
      <c r="BM301" s="725"/>
      <c r="BN301" s="475"/>
      <c r="BO301" s="475"/>
      <c r="BP301" s="475"/>
      <c r="BY301" s="14">
        <v>9.9860000000000007</v>
      </c>
    </row>
    <row r="302" spans="1:77" ht="15" customHeight="1" x14ac:dyDescent="0.15">
      <c r="A302" s="782" t="str">
        <f>'r-in'!A256</f>
        <v>215_U</v>
      </c>
      <c r="B302" s="258" t="s">
        <v>1133</v>
      </c>
      <c r="C302" s="162">
        <f>'r-in'!P256</f>
        <v>3726.7531070361138</v>
      </c>
      <c r="D302" s="162">
        <f>'r-in'!Q256</f>
        <v>5.1033313305330026</v>
      </c>
      <c r="E302" s="81">
        <f>'r-in'!R256</f>
        <v>2956641.1994742062</v>
      </c>
      <c r="F302" s="162">
        <f>'r-in'!S256</f>
        <v>0.5017756786416111</v>
      </c>
      <c r="G302" s="81">
        <f>'r-in'!T256</f>
        <v>163.34024464339515</v>
      </c>
      <c r="H302" s="162">
        <f>'r-in'!U256</f>
        <v>377.10360291747065</v>
      </c>
      <c r="I302" s="81">
        <f>'r-in'!V256</f>
        <v>2097.136666282262</v>
      </c>
      <c r="J302" s="162">
        <f>'r-in'!W256</f>
        <v>13.394014966639411</v>
      </c>
      <c r="K302" s="81">
        <f>'r-in'!X256</f>
        <v>13570177.564772533</v>
      </c>
      <c r="L302" s="162">
        <f>'r-in'!Y256</f>
        <v>0.50699673780618171</v>
      </c>
      <c r="M302" s="81">
        <f>'r-in'!Z256</f>
        <v>1968.1241171112756</v>
      </c>
      <c r="N302" s="162">
        <f>'r-in'!AA256</f>
        <v>13.84564932488151</v>
      </c>
      <c r="O302" s="81">
        <f>'r-in'!AB256</f>
        <v>2921568.9999713376</v>
      </c>
      <c r="P302" s="162">
        <f>'r-in'!AC256</f>
        <v>0.50830536724091568</v>
      </c>
      <c r="Q302" s="81">
        <f>'r-in'!AD256</f>
        <v>13497947.861355837</v>
      </c>
      <c r="R302" s="162">
        <f>'r-in'!AE256</f>
        <v>0.51014514204076933</v>
      </c>
      <c r="S302" s="157">
        <f>'r-in'!AF256</f>
        <v>4.6170997039684041</v>
      </c>
      <c r="T302" s="157">
        <f>'r-in'!AG256</f>
        <v>7.9176205678705303E-3</v>
      </c>
      <c r="U302" s="157">
        <f>'r-in'!AH256</f>
        <v>4.6200719302939435</v>
      </c>
      <c r="V302" s="157">
        <f>'r-in'!AI256</f>
        <v>1.2078232137306454E-2</v>
      </c>
      <c r="W302" s="158">
        <v>215</v>
      </c>
      <c r="X302" s="764">
        <f t="shared" si="115"/>
        <v>0.88302840544477268</v>
      </c>
      <c r="Y302" s="387">
        <f t="shared" si="117"/>
        <v>4.0796547496476139</v>
      </c>
      <c r="Z302" s="640">
        <f t="shared" si="118"/>
        <v>7.9176205678705303E-3</v>
      </c>
      <c r="AA302" s="473">
        <f t="shared" si="120"/>
        <v>6.2041557892746901</v>
      </c>
      <c r="AB302" s="478">
        <f t="shared" si="121"/>
        <v>7.9667427193674811E-2</v>
      </c>
      <c r="AC302" s="108">
        <v>1</v>
      </c>
      <c r="AD302" s="159">
        <f t="shared" si="116"/>
        <v>7.1336235325154998E-2</v>
      </c>
      <c r="AE302" s="160">
        <v>285</v>
      </c>
      <c r="AF302" s="160">
        <v>14</v>
      </c>
      <c r="AG302" s="160">
        <v>2.1</v>
      </c>
      <c r="AH302" s="303">
        <f t="shared" si="119"/>
        <v>4.4751530423478822</v>
      </c>
      <c r="AI302" s="86">
        <f t="shared" si="122"/>
        <v>6858.2808086146115</v>
      </c>
      <c r="AJ302" s="86"/>
      <c r="AK302" s="86"/>
      <c r="AL302" s="775"/>
      <c r="AM302" s="775"/>
      <c r="AN302" s="536"/>
      <c r="AP302" s="53"/>
      <c r="AQ302" s="108"/>
      <c r="AR302" s="108"/>
      <c r="AS302" s="724"/>
      <c r="AT302" s="724"/>
      <c r="AU302" s="724"/>
      <c r="AV302" s="634"/>
      <c r="AW302" s="108"/>
      <c r="AX302" s="725"/>
      <c r="AY302" s="53"/>
      <c r="AZ302" s="108"/>
      <c r="BA302" s="771"/>
      <c r="BB302" s="108"/>
      <c r="BC302" s="724"/>
      <c r="BD302" s="724"/>
      <c r="BE302" s="724"/>
      <c r="BF302" s="634"/>
      <c r="BG302" s="108"/>
      <c r="BH302" s="725"/>
      <c r="BI302" s="725"/>
      <c r="BJ302" s="725"/>
      <c r="BK302" s="725"/>
      <c r="BL302" s="634"/>
      <c r="BM302" s="724"/>
      <c r="BN302" s="475"/>
      <c r="BO302" s="475"/>
      <c r="BP302" s="10"/>
      <c r="BY302" s="14">
        <v>9.9860000000000007</v>
      </c>
    </row>
    <row r="303" spans="1:77" ht="15" customHeight="1" x14ac:dyDescent="0.15">
      <c r="A303" s="782" t="str">
        <f>'r-in'!A257</f>
        <v>216_U</v>
      </c>
      <c r="B303" s="258" t="s">
        <v>1133</v>
      </c>
      <c r="C303" s="162">
        <f>'r-in'!P257</f>
        <v>3825.3242821566291</v>
      </c>
      <c r="D303" s="162">
        <f>'r-in'!Q257</f>
        <v>4.9054182201138081</v>
      </c>
      <c r="E303" s="81">
        <f>'r-in'!R257</f>
        <v>2950104.2853702074</v>
      </c>
      <c r="F303" s="162">
        <f>'r-in'!S257</f>
        <v>0.78296135108655474</v>
      </c>
      <c r="G303" s="81">
        <f>'r-in'!T257</f>
        <v>2949.2321339859527</v>
      </c>
      <c r="H303" s="162">
        <f>'r-in'!U257</f>
        <v>17.233589096522088</v>
      </c>
      <c r="I303" s="81">
        <f>'r-in'!V257</f>
        <v>3424.6706887036271</v>
      </c>
      <c r="J303" s="162">
        <f>'r-in'!W257</f>
        <v>7.0501538286941736</v>
      </c>
      <c r="K303" s="81">
        <f>'r-in'!X257</f>
        <v>13540606.600958826</v>
      </c>
      <c r="L303" s="162">
        <f>'r-in'!Y257</f>
        <v>0.78950604726575657</v>
      </c>
      <c r="M303" s="81">
        <f>'r-in'!Z257</f>
        <v>2808.5242658364482</v>
      </c>
      <c r="N303" s="162">
        <f>'r-in'!AA257</f>
        <v>7.0546731570359</v>
      </c>
      <c r="O303" s="81">
        <f>'r-in'!AB257</f>
        <v>2914022.1168880002</v>
      </c>
      <c r="P303" s="162">
        <f>'r-in'!AC257</f>
        <v>0.79315186453731579</v>
      </c>
      <c r="Q303" s="81">
        <f>'r-in'!AD257</f>
        <v>13467545.522973193</v>
      </c>
      <c r="R303" s="162">
        <f>'r-in'!AE257</f>
        <v>0.79376717332062674</v>
      </c>
      <c r="S303" s="157">
        <f>'r-in'!AF257</f>
        <v>4.6170709949345072</v>
      </c>
      <c r="T303" s="157">
        <f>'r-in'!AG257</f>
        <v>9.0129088015749731E-3</v>
      </c>
      <c r="U303" s="157">
        <f>'r-in'!AH257</f>
        <v>4.6216207064177741</v>
      </c>
      <c r="V303" s="157">
        <f>'r-in'!AI257</f>
        <v>1.1060374179197101E-2</v>
      </c>
      <c r="W303" s="158">
        <v>216</v>
      </c>
      <c r="X303" s="764">
        <f t="shared" si="115"/>
        <v>0.88303734940319167</v>
      </c>
      <c r="Y303" s="387">
        <f t="shared" si="117"/>
        <v>4.0810636985420574</v>
      </c>
      <c r="Z303" s="640">
        <f t="shared" si="118"/>
        <v>9.0129088015749731E-3</v>
      </c>
      <c r="AA303" s="473">
        <f t="shared" si="120"/>
        <v>6.551658291295448</v>
      </c>
      <c r="AB303" s="478">
        <f t="shared" si="121"/>
        <v>9.0719583002440984E-2</v>
      </c>
      <c r="AC303" s="108">
        <v>1</v>
      </c>
      <c r="AD303" s="159">
        <f t="shared" si="116"/>
        <v>7.1336235325154998E-2</v>
      </c>
      <c r="AE303" s="160">
        <v>285</v>
      </c>
      <c r="AF303" s="160">
        <v>14</v>
      </c>
      <c r="AG303" s="160">
        <v>2.1</v>
      </c>
      <c r="AH303" s="303">
        <f t="shared" si="119"/>
        <v>4.467863075839615</v>
      </c>
      <c r="AI303" s="86">
        <f t="shared" si="122"/>
        <v>4795.2391534570643</v>
      </c>
      <c r="AJ303" s="86"/>
      <c r="AK303" s="86"/>
      <c r="AL303" s="86"/>
      <c r="AM303" s="86"/>
      <c r="AN303" s="536"/>
      <c r="AP303" s="53"/>
      <c r="AQ303" s="108"/>
      <c r="AR303" s="110"/>
      <c r="AS303" s="724"/>
      <c r="AT303" s="750"/>
      <c r="AU303" s="750"/>
      <c r="AV303" s="751"/>
      <c r="AW303" s="108"/>
      <c r="AX303" s="724"/>
      <c r="AY303" s="53"/>
      <c r="AZ303" s="108"/>
      <c r="BA303" s="771"/>
      <c r="BB303" s="108"/>
      <c r="BC303" s="724"/>
      <c r="BD303" s="724"/>
      <c r="BE303" s="724"/>
      <c r="BF303" s="634"/>
      <c r="BG303" s="108"/>
      <c r="BH303" s="725"/>
      <c r="BI303" s="725"/>
      <c r="BJ303" s="725"/>
      <c r="BK303" s="725"/>
      <c r="BL303" s="725"/>
      <c r="BM303" s="725"/>
      <c r="BN303" s="475"/>
      <c r="BO303" s="475"/>
      <c r="BP303" s="475"/>
      <c r="BY303" s="14">
        <v>9.9860000000000007</v>
      </c>
    </row>
    <row r="304" spans="1:77" ht="15" customHeight="1" x14ac:dyDescent="0.15">
      <c r="A304" s="782" t="str">
        <f>'r-in'!A258</f>
        <v>217_U</v>
      </c>
      <c r="B304" s="258" t="s">
        <v>1133</v>
      </c>
      <c r="C304" s="162">
        <f>'r-in'!P258</f>
        <v>3703.8680691529985</v>
      </c>
      <c r="D304" s="162">
        <f>'r-in'!Q258</f>
        <v>5.588008485786534</v>
      </c>
      <c r="E304" s="81">
        <f>'r-in'!R258</f>
        <v>3204712.703256838</v>
      </c>
      <c r="F304" s="162">
        <f>'r-in'!S258</f>
        <v>0.54891871852731122</v>
      </c>
      <c r="G304" s="81">
        <f>'r-in'!T258</f>
        <v>1689.0340516722865</v>
      </c>
      <c r="H304" s="162">
        <f>'r-in'!U258</f>
        <v>32.132845618068487</v>
      </c>
      <c r="I304" s="81">
        <f>'r-in'!V258</f>
        <v>2782.446171923837</v>
      </c>
      <c r="J304" s="162">
        <f>'r-in'!W258</f>
        <v>8.7609764620338275</v>
      </c>
      <c r="K304" s="81">
        <f>'r-in'!X258</f>
        <v>14713495.373620233</v>
      </c>
      <c r="L304" s="162">
        <f>'r-in'!Y258</f>
        <v>0.55199744202562073</v>
      </c>
      <c r="M304" s="81">
        <f>'r-in'!Z258</f>
        <v>2396.3947340548289</v>
      </c>
      <c r="N304" s="162">
        <f>'r-in'!AA258</f>
        <v>10.673684429033919</v>
      </c>
      <c r="O304" s="81">
        <f>'r-in'!AB258</f>
        <v>3169222.0216298918</v>
      </c>
      <c r="P304" s="162">
        <f>'r-in'!AC258</f>
        <v>0.55419579908646188</v>
      </c>
      <c r="Q304" s="81">
        <f>'r-in'!AD258</f>
        <v>14640841.142603319</v>
      </c>
      <c r="R304" s="162">
        <f>'r-in'!AE258</f>
        <v>0.55466867415021703</v>
      </c>
      <c r="S304" s="157">
        <f>'r-in'!AF258</f>
        <v>4.6160992078913559</v>
      </c>
      <c r="T304" s="157">
        <f>'r-in'!AG258</f>
        <v>8.2804343135653782E-3</v>
      </c>
      <c r="U304" s="157">
        <f>'r-in'!AH258</f>
        <v>4.619689408161177</v>
      </c>
      <c r="V304" s="157">
        <f>'r-in'!AI258</f>
        <v>1.0647944080813957E-2</v>
      </c>
      <c r="W304" s="158">
        <v>217</v>
      </c>
      <c r="X304" s="764">
        <f t="shared" si="115"/>
        <v>0.88304619875009405</v>
      </c>
      <c r="Y304" s="387">
        <f t="shared" si="117"/>
        <v>4.0793991712827991</v>
      </c>
      <c r="Z304" s="640">
        <f t="shared" si="118"/>
        <v>8.2804343135653782E-3</v>
      </c>
      <c r="AA304" s="473">
        <f t="shared" si="120"/>
        <v>6.1411200598837645</v>
      </c>
      <c r="AB304" s="478">
        <f t="shared" si="121"/>
        <v>8.3312854548323045E-2</v>
      </c>
      <c r="AC304" s="108">
        <v>1</v>
      </c>
      <c r="AD304" s="159">
        <f t="shared" si="116"/>
        <v>7.1336235325154998E-2</v>
      </c>
      <c r="AE304" s="160">
        <v>285</v>
      </c>
      <c r="AF304" s="160">
        <v>14</v>
      </c>
      <c r="AG304" s="160">
        <v>2.1</v>
      </c>
      <c r="AH304" s="303">
        <f t="shared" si="119"/>
        <v>4.8601739514502293</v>
      </c>
      <c r="AI304" s="86">
        <f t="shared" si="122"/>
        <v>6109.5281735285025</v>
      </c>
      <c r="AJ304" s="86"/>
      <c r="AK304" s="86"/>
      <c r="AL304" s="775"/>
      <c r="AM304" s="775"/>
      <c r="AN304" s="536"/>
      <c r="AP304" s="53"/>
      <c r="AQ304" s="108"/>
      <c r="AR304" s="108"/>
      <c r="AS304" s="724"/>
      <c r="AT304" s="724"/>
      <c r="AU304" s="724"/>
      <c r="AV304" s="634"/>
      <c r="AW304" s="108"/>
      <c r="AX304" s="725"/>
      <c r="AY304" s="53"/>
      <c r="AZ304" s="108"/>
      <c r="BA304" s="771"/>
      <c r="BB304" s="108"/>
      <c r="BC304" s="724"/>
      <c r="BD304" s="724"/>
      <c r="BE304" s="724"/>
      <c r="BF304" s="634"/>
      <c r="BG304" s="108"/>
      <c r="BH304" s="725"/>
      <c r="BI304" s="725"/>
      <c r="BJ304" s="725"/>
      <c r="BK304" s="725"/>
      <c r="BL304" s="634"/>
      <c r="BM304" s="724"/>
      <c r="BN304" s="475"/>
      <c r="BO304" s="475"/>
      <c r="BP304" s="10"/>
      <c r="BY304" s="14">
        <v>9.9860000000000007</v>
      </c>
    </row>
    <row r="305" spans="1:77" ht="15" customHeight="1" x14ac:dyDescent="0.15">
      <c r="A305" s="301" t="str">
        <f>'r-in'!A259</f>
        <v>218_U</v>
      </c>
      <c r="B305" s="258" t="s">
        <v>1133</v>
      </c>
      <c r="C305" s="162">
        <f>'r-in'!P259</f>
        <v>3709.4744730326975</v>
      </c>
      <c r="D305" s="162">
        <f>'r-in'!Q259</f>
        <v>4.6948502648057788</v>
      </c>
      <c r="E305" s="81">
        <f>'r-in'!R259</f>
        <v>3010421.050813857</v>
      </c>
      <c r="F305" s="162">
        <f>'r-in'!S259</f>
        <v>0.56044631446296056</v>
      </c>
      <c r="G305" s="81">
        <f>'r-in'!T259</f>
        <v>1119.7581349750033</v>
      </c>
      <c r="H305" s="162">
        <f>'r-in'!U259</f>
        <v>52.809818141232746</v>
      </c>
      <c r="I305" s="81">
        <f>'r-in'!V259</f>
        <v>2525.1479623645173</v>
      </c>
      <c r="J305" s="162">
        <f>'r-in'!W259</f>
        <v>10.447288181541774</v>
      </c>
      <c r="K305" s="81">
        <f>'r-in'!X259</f>
        <v>13817214.136451779</v>
      </c>
      <c r="L305" s="162">
        <f>'r-in'!Y259</f>
        <v>0.56134058710240031</v>
      </c>
      <c r="M305" s="81">
        <f>'r-in'!Z259</f>
        <v>1853.5143062556151</v>
      </c>
      <c r="N305" s="162">
        <f>'r-in'!AA259</f>
        <v>13.743027437976219</v>
      </c>
      <c r="O305" s="81">
        <f>'r-in'!AB259</f>
        <v>2975193.3562703342</v>
      </c>
      <c r="P305" s="162">
        <f>'r-in'!AC259</f>
        <v>0.56712789699324739</v>
      </c>
      <c r="Q305" s="81">
        <f>'r-in'!AD259</f>
        <v>13744821.378275651</v>
      </c>
      <c r="R305" s="162">
        <f>'r-in'!AE259</f>
        <v>0.56446893053095026</v>
      </c>
      <c r="S305" s="157">
        <f>'r-in'!AF259</f>
        <v>4.6156902197657379</v>
      </c>
      <c r="T305" s="157">
        <f>'r-in'!AG259</f>
        <v>9.3921607917821261E-3</v>
      </c>
      <c r="U305" s="157">
        <f>'r-in'!AH259</f>
        <v>4.6198587833140303</v>
      </c>
      <c r="V305" s="157">
        <f>'r-in'!AI259</f>
        <v>1.1574840839117371E-2</v>
      </c>
      <c r="W305" s="158">
        <v>218</v>
      </c>
      <c r="X305" s="764">
        <f t="shared" si="115"/>
        <v>0.88305495856185789</v>
      </c>
      <c r="Y305" s="387">
        <f t="shared" si="117"/>
        <v>4.079589206461006</v>
      </c>
      <c r="Z305" s="640">
        <f t="shared" si="118"/>
        <v>9.3921607917821261E-3</v>
      </c>
      <c r="AA305" s="473">
        <f t="shared" si="120"/>
        <v>6.1879902481207782</v>
      </c>
      <c r="AB305" s="478">
        <f t="shared" si="121"/>
        <v>9.4502793911654948E-2</v>
      </c>
      <c r="AC305" s="108">
        <v>1</v>
      </c>
      <c r="AD305" s="159">
        <f t="shared" si="116"/>
        <v>7.1336235325154998E-2</v>
      </c>
      <c r="AE305" s="160">
        <v>285</v>
      </c>
      <c r="AF305" s="160">
        <v>14</v>
      </c>
      <c r="AG305" s="160">
        <v>2.1</v>
      </c>
      <c r="AH305" s="303">
        <f t="shared" si="119"/>
        <v>4.5656485587014686</v>
      </c>
      <c r="AI305" s="86">
        <f t="shared" si="122"/>
        <v>7415.5464200555925</v>
      </c>
      <c r="AJ305" s="86"/>
      <c r="AK305" s="86"/>
      <c r="AL305" s="86"/>
      <c r="AM305" s="86"/>
      <c r="AN305" s="536"/>
      <c r="AP305" s="53"/>
      <c r="AQ305" s="108"/>
      <c r="AR305" s="110"/>
      <c r="AS305" s="724"/>
      <c r="AT305" s="750"/>
      <c r="AU305" s="750"/>
      <c r="AV305" s="751"/>
      <c r="AW305" s="108"/>
      <c r="AX305" s="724"/>
      <c r="AY305" s="53"/>
      <c r="AZ305" s="108"/>
      <c r="BA305" s="771"/>
      <c r="BB305" s="108"/>
      <c r="BC305" s="724"/>
      <c r="BD305" s="724"/>
      <c r="BE305" s="724"/>
      <c r="BF305" s="634"/>
      <c r="BG305" s="108"/>
      <c r="BH305" s="725"/>
      <c r="BI305" s="725"/>
      <c r="BJ305" s="725"/>
      <c r="BK305" s="725"/>
      <c r="BL305" s="725"/>
      <c r="BM305" s="725"/>
      <c r="BN305" s="475"/>
      <c r="BO305" s="475"/>
      <c r="BP305" s="475"/>
      <c r="BY305" s="14">
        <v>9.9860000000000007</v>
      </c>
    </row>
    <row r="306" spans="1:77" ht="15" customHeight="1" x14ac:dyDescent="0.15">
      <c r="A306" s="782" t="str">
        <f>'r-in'!A260</f>
        <v>219_U</v>
      </c>
      <c r="B306" s="258" t="s">
        <v>1133</v>
      </c>
      <c r="C306" s="162">
        <f>'r-in'!P260</f>
        <v>3866.1758284900743</v>
      </c>
      <c r="D306" s="162">
        <f>'r-in'!Q260</f>
        <v>5.4841035271766136</v>
      </c>
      <c r="E306" s="81">
        <f>'r-in'!R260</f>
        <v>2739599.7598883091</v>
      </c>
      <c r="F306" s="162">
        <f>'r-in'!S260</f>
        <v>0.68535712759292056</v>
      </c>
      <c r="G306" s="81">
        <f>'r-in'!T260</f>
        <v>1606.7445574688775</v>
      </c>
      <c r="H306" s="162">
        <f>'r-in'!U260</f>
        <v>39.996258347704718</v>
      </c>
      <c r="I306" s="81">
        <f>'r-in'!V260</f>
        <v>2832.8949575395332</v>
      </c>
      <c r="J306" s="162">
        <f>'r-in'!W260</f>
        <v>11.924387218878518</v>
      </c>
      <c r="K306" s="81">
        <f>'r-in'!X260</f>
        <v>12567354.653906988</v>
      </c>
      <c r="L306" s="162">
        <f>'r-in'!Y260</f>
        <v>0.68983608508994376</v>
      </c>
      <c r="M306" s="81">
        <f>'r-in'!Z260</f>
        <v>3353.7775678049265</v>
      </c>
      <c r="N306" s="162">
        <f>'r-in'!AA260</f>
        <v>6.9822979170028558</v>
      </c>
      <c r="O306" s="81">
        <f>'r-in'!AB260</f>
        <v>2704156.6755353487</v>
      </c>
      <c r="P306" s="162">
        <f>'r-in'!AC260</f>
        <v>0.69187189667697535</v>
      </c>
      <c r="Q306" s="81">
        <f>'r-in'!AD260</f>
        <v>12493743.9520816</v>
      </c>
      <c r="R306" s="162">
        <f>'r-in'!AE260</f>
        <v>0.69400360977450326</v>
      </c>
      <c r="S306" s="157">
        <f>'r-in'!AF260</f>
        <v>4.6152914949758364</v>
      </c>
      <c r="T306" s="157">
        <f>'r-in'!AG260</f>
        <v>1.3011880734083008E-2</v>
      </c>
      <c r="U306" s="157">
        <f>'r-in'!AH260</f>
        <v>4.6201485038438168</v>
      </c>
      <c r="V306" s="157">
        <f>'r-in'!AI260</f>
        <v>1.7520121563075048E-2</v>
      </c>
      <c r="W306" s="158">
        <v>219</v>
      </c>
      <c r="X306" s="764">
        <f t="shared" si="115"/>
        <v>0.88306363403324284</v>
      </c>
      <c r="Y306" s="387">
        <f t="shared" si="117"/>
        <v>4.0798851275775707</v>
      </c>
      <c r="Z306" s="640">
        <f t="shared" si="118"/>
        <v>1.3011880734083008E-2</v>
      </c>
      <c r="AA306" s="473">
        <f t="shared" si="120"/>
        <v>6.260976095096904</v>
      </c>
      <c r="AB306" s="478">
        <f t="shared" si="121"/>
        <v>0.13093347808301736</v>
      </c>
      <c r="AC306" s="108">
        <v>1</v>
      </c>
      <c r="AD306" s="159">
        <f t="shared" si="116"/>
        <v>7.1336235325154998E-2</v>
      </c>
      <c r="AE306" s="160">
        <v>285</v>
      </c>
      <c r="AF306" s="160">
        <v>14</v>
      </c>
      <c r="AG306" s="160">
        <v>2.1</v>
      </c>
      <c r="AH306" s="303">
        <f t="shared" si="119"/>
        <v>4.1527603568303935</v>
      </c>
      <c r="AI306" s="86">
        <f t="shared" si="122"/>
        <v>3725.2750665449921</v>
      </c>
      <c r="AJ306" s="86"/>
      <c r="AK306" s="86"/>
      <c r="AL306" s="775"/>
      <c r="AM306" s="775"/>
      <c r="AN306" s="536"/>
      <c r="AP306" s="53"/>
      <c r="AQ306" s="108"/>
      <c r="AR306" s="108"/>
      <c r="AS306" s="724"/>
      <c r="AT306" s="724"/>
      <c r="AU306" s="724"/>
      <c r="AV306" s="634"/>
      <c r="AW306" s="108"/>
      <c r="AX306" s="725"/>
      <c r="AY306" s="53"/>
      <c r="AZ306" s="108"/>
      <c r="BA306" s="771"/>
      <c r="BB306" s="108"/>
      <c r="BC306" s="724"/>
      <c r="BD306" s="724"/>
      <c r="BE306" s="724"/>
      <c r="BF306" s="634"/>
      <c r="BG306" s="108"/>
      <c r="BH306" s="725"/>
      <c r="BI306" s="725"/>
      <c r="BJ306" s="725"/>
      <c r="BK306" s="725"/>
      <c r="BL306" s="634"/>
      <c r="BM306" s="724"/>
      <c r="BN306" s="475"/>
      <c r="BO306" s="475"/>
      <c r="BP306" s="10"/>
      <c r="BY306" s="14">
        <v>9.9860000000000007</v>
      </c>
    </row>
    <row r="307" spans="1:77" ht="15" customHeight="1" x14ac:dyDescent="0.15">
      <c r="A307" s="782" t="str">
        <f>'r-in'!A261</f>
        <v>220_U</v>
      </c>
      <c r="B307" s="258" t="s">
        <v>1133</v>
      </c>
      <c r="C307" s="162">
        <f>'r-in'!P261</f>
        <v>3580.0305348663815</v>
      </c>
      <c r="D307" s="162">
        <f>'r-in'!Q261</f>
        <v>5.407549254568174</v>
      </c>
      <c r="E307" s="81">
        <f>'r-in'!R261</f>
        <v>3162411.1008595773</v>
      </c>
      <c r="F307" s="162">
        <f>'r-in'!S261</f>
        <v>0.72680367914650479</v>
      </c>
      <c r="G307" s="81">
        <f>'r-in'!T261</f>
        <v>1176.5767584424136</v>
      </c>
      <c r="H307" s="162">
        <f>'r-in'!U261</f>
        <v>50.881804777645385</v>
      </c>
      <c r="I307" s="81">
        <f>'r-in'!V261</f>
        <v>2480.885434395906</v>
      </c>
      <c r="J307" s="162">
        <f>'r-in'!W261</f>
        <v>11.640085566951146</v>
      </c>
      <c r="K307" s="81">
        <f>'r-in'!X261</f>
        <v>14527120.490185296</v>
      </c>
      <c r="L307" s="162">
        <f>'r-in'!Y261</f>
        <v>0.73319490817744892</v>
      </c>
      <c r="M307" s="81">
        <f>'r-in'!Z261</f>
        <v>2695.6679290189613</v>
      </c>
      <c r="N307" s="162">
        <f>'r-in'!AA261</f>
        <v>8.6205563784151185</v>
      </c>
      <c r="O307" s="81">
        <f>'r-in'!AB261</f>
        <v>3127180.7987449332</v>
      </c>
      <c r="P307" s="162">
        <f>'r-in'!AC261</f>
        <v>0.73477259225902702</v>
      </c>
      <c r="Q307" s="81">
        <f>'r-in'!AD261</f>
        <v>14454243.402772376</v>
      </c>
      <c r="R307" s="162">
        <f>'r-in'!AE261</f>
        <v>0.73682731623918385</v>
      </c>
      <c r="S307" s="157">
        <f>'r-in'!AF261</f>
        <v>4.6180939739689935</v>
      </c>
      <c r="T307" s="157">
        <f>'r-in'!AG261</f>
        <v>9.599431026058234E-3</v>
      </c>
      <c r="U307" s="157">
        <f>'r-in'!AH261</f>
        <v>4.6220897938908729</v>
      </c>
      <c r="V307" s="157">
        <f>'r-in'!AI261</f>
        <v>1.1650051544869934E-2</v>
      </c>
      <c r="W307" s="158">
        <v>220</v>
      </c>
      <c r="X307" s="764">
        <f t="shared" si="115"/>
        <v>0.8830722304773907</v>
      </c>
      <c r="Y307" s="387">
        <f t="shared" si="117"/>
        <v>4.0816391437579966</v>
      </c>
      <c r="Z307" s="640">
        <f t="shared" si="118"/>
        <v>9.599431026058234E-3</v>
      </c>
      <c r="AA307" s="473">
        <f t="shared" si="120"/>
        <v>6.6935858325309905</v>
      </c>
      <c r="AB307" s="478">
        <f t="shared" si="121"/>
        <v>9.6636856415699413E-2</v>
      </c>
      <c r="AC307" s="108">
        <v>1</v>
      </c>
      <c r="AD307" s="159">
        <f t="shared" si="116"/>
        <v>7.1336235325154998E-2</v>
      </c>
      <c r="AE307" s="160">
        <v>285</v>
      </c>
      <c r="AF307" s="160">
        <v>14</v>
      </c>
      <c r="AG307" s="160">
        <v>2.1</v>
      </c>
      <c r="AH307" s="303">
        <f t="shared" si="119"/>
        <v>4.8075510755475701</v>
      </c>
      <c r="AI307" s="86">
        <f t="shared" si="122"/>
        <v>5362.0266974177093</v>
      </c>
      <c r="AJ307" s="86"/>
      <c r="AK307" s="86"/>
      <c r="AL307" s="86"/>
      <c r="AM307" s="86"/>
      <c r="AN307" s="536"/>
      <c r="AP307" s="53"/>
      <c r="AQ307" s="108"/>
      <c r="AR307" s="110"/>
      <c r="AS307" s="724"/>
      <c r="AT307" s="750"/>
      <c r="AU307" s="750"/>
      <c r="AV307" s="751"/>
      <c r="AW307" s="108"/>
      <c r="AX307" s="724"/>
      <c r="AY307" s="53"/>
      <c r="AZ307" s="108"/>
      <c r="BA307" s="771"/>
      <c r="BB307" s="108"/>
      <c r="BC307" s="724"/>
      <c r="BD307" s="724"/>
      <c r="BE307" s="724"/>
      <c r="BF307" s="634"/>
      <c r="BG307" s="108"/>
      <c r="BH307" s="725"/>
      <c r="BI307" s="725"/>
      <c r="BJ307" s="725"/>
      <c r="BK307" s="725"/>
      <c r="BL307" s="725"/>
      <c r="BM307" s="725"/>
      <c r="BN307" s="475"/>
      <c r="BO307" s="475"/>
      <c r="BP307" s="475"/>
      <c r="BY307" s="14">
        <v>9.9860000000000007</v>
      </c>
    </row>
    <row r="308" spans="1:77" ht="15" customHeight="1" x14ac:dyDescent="0.15">
      <c r="A308" s="782" t="str">
        <f>'r-in'!A262</f>
        <v>221_U</v>
      </c>
      <c r="B308" s="258" t="s">
        <v>1133</v>
      </c>
      <c r="C308" s="162">
        <f>'r-in'!P262</f>
        <v>3592.5468035839967</v>
      </c>
      <c r="D308" s="162">
        <f>'r-in'!Q262</f>
        <v>5.1412214387387962</v>
      </c>
      <c r="E308" s="81">
        <f>'r-in'!R262</f>
        <v>2825929.0063270107</v>
      </c>
      <c r="F308" s="162">
        <f>'r-in'!S262</f>
        <v>1.0365715935688593</v>
      </c>
      <c r="G308" s="81">
        <f>'r-in'!T262</f>
        <v>2522.7400625543632</v>
      </c>
      <c r="H308" s="162">
        <f>'r-in'!U262</f>
        <v>21.158404556201095</v>
      </c>
      <c r="I308" s="81">
        <f>'r-in'!V262</f>
        <v>3103.3038443944274</v>
      </c>
      <c r="J308" s="162">
        <f>'r-in'!W262</f>
        <v>8.7155885338038726</v>
      </c>
      <c r="K308" s="81">
        <f>'r-in'!X262</f>
        <v>12965356.407387007</v>
      </c>
      <c r="L308" s="162">
        <f>'r-in'!Y262</f>
        <v>1.0433812878864903</v>
      </c>
      <c r="M308" s="81">
        <f>'r-in'!Z262</f>
        <v>1545.6314276869387</v>
      </c>
      <c r="N308" s="162">
        <f>'r-in'!AA262</f>
        <v>16.577235564219265</v>
      </c>
      <c r="O308" s="81">
        <f>'r-in'!AB262</f>
        <v>2790260.045938618</v>
      </c>
      <c r="P308" s="162">
        <f>'r-in'!AC262</f>
        <v>1.0495865071802359</v>
      </c>
      <c r="Q308" s="81">
        <f>'r-in'!AD262</f>
        <v>12893575.633946449</v>
      </c>
      <c r="R308" s="162">
        <f>'r-in'!AE262</f>
        <v>1.0495739543053282</v>
      </c>
      <c r="S308" s="157">
        <f>'r-in'!AF262</f>
        <v>4.6155095506742336</v>
      </c>
      <c r="T308" s="157">
        <f>'r-in'!AG262</f>
        <v>9.3541130551664641E-3</v>
      </c>
      <c r="U308" s="157">
        <f>'r-in'!AH262</f>
        <v>4.6209291817092657</v>
      </c>
      <c r="V308" s="157">
        <f>'r-in'!AI262</f>
        <v>1.2443985513560957E-2</v>
      </c>
      <c r="W308" s="158">
        <v>221</v>
      </c>
      <c r="X308" s="764">
        <f t="shared" si="115"/>
        <v>0.88308075332582869</v>
      </c>
      <c r="Y308" s="387">
        <f t="shared" si="117"/>
        <v>4.0806536228491233</v>
      </c>
      <c r="Z308" s="640">
        <f t="shared" si="118"/>
        <v>9.3541130551664641E-3</v>
      </c>
      <c r="AA308" s="473">
        <f t="shared" si="120"/>
        <v>6.4505174125351061</v>
      </c>
      <c r="AB308" s="478">
        <f t="shared" si="121"/>
        <v>9.4144519243277713E-2</v>
      </c>
      <c r="AC308" s="108">
        <v>1</v>
      </c>
      <c r="AD308" s="159">
        <f t="shared" si="116"/>
        <v>7.1336235325154998E-2</v>
      </c>
      <c r="AE308" s="160">
        <v>285</v>
      </c>
      <c r="AF308" s="160">
        <v>14</v>
      </c>
      <c r="AG308" s="160">
        <v>2.1</v>
      </c>
      <c r="AH308" s="303">
        <f t="shared" si="119"/>
        <v>4.2913077433172182</v>
      </c>
      <c r="AI308" s="86">
        <f t="shared" si="122"/>
        <v>8341.9471181702647</v>
      </c>
      <c r="AJ308" s="86"/>
      <c r="AK308" s="86"/>
      <c r="AL308" s="775"/>
      <c r="AM308" s="775"/>
      <c r="AN308" s="536"/>
      <c r="AP308" s="53"/>
      <c r="AQ308" s="108"/>
      <c r="AR308" s="108"/>
      <c r="AS308" s="724"/>
      <c r="AT308" s="724"/>
      <c r="AU308" s="724"/>
      <c r="AV308" s="634"/>
      <c r="AW308" s="108"/>
      <c r="AX308" s="725"/>
      <c r="AY308" s="53"/>
      <c r="AZ308" s="108"/>
      <c r="BA308" s="771"/>
      <c r="BB308" s="108"/>
      <c r="BC308" s="724"/>
      <c r="BD308" s="724"/>
      <c r="BE308" s="724"/>
      <c r="BF308" s="634"/>
      <c r="BG308" s="108"/>
      <c r="BH308" s="725"/>
      <c r="BI308" s="725"/>
      <c r="BJ308" s="725"/>
      <c r="BK308" s="725"/>
      <c r="BL308" s="634"/>
      <c r="BM308" s="724"/>
      <c r="BN308" s="475"/>
      <c r="BO308" s="475"/>
      <c r="BP308" s="10"/>
      <c r="BY308" s="14">
        <v>9.9860000000000007</v>
      </c>
    </row>
    <row r="309" spans="1:77" s="437" customFormat="1" ht="15" customHeight="1" x14ac:dyDescent="0.15">
      <c r="A309" s="783" t="str">
        <f>'r-in'!A263</f>
        <v>222_U</v>
      </c>
      <c r="B309" s="258" t="s">
        <v>548</v>
      </c>
      <c r="C309" s="567">
        <f>'r-in'!P263</f>
        <v>533.81171106037107</v>
      </c>
      <c r="D309" s="567">
        <f>'r-in'!Q263</f>
        <v>41.857659144147014</v>
      </c>
      <c r="E309" s="568">
        <f>'r-in'!R263</f>
        <v>1696416.8079105918</v>
      </c>
      <c r="F309" s="567">
        <f>'r-in'!S263</f>
        <v>1.5066970897001919</v>
      </c>
      <c r="G309" s="568">
        <f>'r-in'!T263</f>
        <v>591.81347201777805</v>
      </c>
      <c r="H309" s="567">
        <f>'r-in'!U263</f>
        <v>101.44458005295402</v>
      </c>
      <c r="I309" s="568">
        <f>'r-in'!V263</f>
        <v>560.33701893204955</v>
      </c>
      <c r="J309" s="567">
        <f>'r-in'!W263</f>
        <v>54.219099662623719</v>
      </c>
      <c r="K309" s="568">
        <f>'r-in'!X263</f>
        <v>7654970.6108023049</v>
      </c>
      <c r="L309" s="567">
        <f>'r-in'!Y263</f>
        <v>1.5272957534462344</v>
      </c>
      <c r="M309" s="568">
        <f>'r-in'!Z263</f>
        <v>708.56078314607623</v>
      </c>
      <c r="N309" s="567">
        <f>'r-in'!AA263</f>
        <v>33.155290944621932</v>
      </c>
      <c r="O309" s="568">
        <f>'r-in'!AB263</f>
        <v>1663246.3185942604</v>
      </c>
      <c r="P309" s="567">
        <f>'r-in'!AC263</f>
        <v>1.5398361534389229</v>
      </c>
      <c r="Q309" s="568">
        <f>'r-in'!AD263</f>
        <v>7583905.7830268061</v>
      </c>
      <c r="R309" s="567">
        <f>'r-in'!AE263</f>
        <v>1.5416569654929315</v>
      </c>
      <c r="S309" s="588">
        <f>'r-in'!AF263</f>
        <v>4.5569269851758101</v>
      </c>
      <c r="T309" s="588">
        <f>'r-in'!AG263</f>
        <v>1.7343192307083519E-2</v>
      </c>
      <c r="U309" s="588">
        <f>'r-in'!AH263</f>
        <v>4.5596837794578846</v>
      </c>
      <c r="V309" s="588">
        <f>'r-in'!AI263</f>
        <v>2.4196330365589973E-2</v>
      </c>
      <c r="W309" s="569">
        <v>222</v>
      </c>
      <c r="X309" s="776">
        <f t="shared" si="115"/>
        <v>0.88308920812847036</v>
      </c>
      <c r="Y309" s="610">
        <f t="shared" si="117"/>
        <v>4.0266075381176938</v>
      </c>
      <c r="Z309" s="639">
        <f t="shared" si="118"/>
        <v>1.7343192307083519E-2</v>
      </c>
      <c r="AA309" s="666">
        <f t="shared" si="120"/>
        <v>-6.8793838654103157</v>
      </c>
      <c r="AB309" s="667">
        <f t="shared" si="121"/>
        <v>0.17223881829753207</v>
      </c>
      <c r="AC309" s="570">
        <v>1</v>
      </c>
      <c r="AD309" s="787">
        <f t="shared" si="116"/>
        <v>0.34285714285714286</v>
      </c>
      <c r="AE309" s="571">
        <v>130</v>
      </c>
      <c r="AF309" s="571">
        <v>14</v>
      </c>
      <c r="AG309" s="571">
        <v>2.1</v>
      </c>
      <c r="AH309" s="572">
        <f t="shared" si="119"/>
        <v>12.139576471825565</v>
      </c>
      <c r="AI309" s="742">
        <f t="shared" si="122"/>
        <v>10703.253642338988</v>
      </c>
      <c r="AJ309" s="742"/>
      <c r="AK309" s="742"/>
      <c r="AL309" s="788">
        <f>AGaverage(AA309:AA323)</f>
        <v>-6.709572851218188</v>
      </c>
      <c r="AM309" s="788">
        <f>STDEV(AA309:AA323)/(COUNT(AA309:AA323)-1)^0.5</f>
        <v>0.1342662439390426</v>
      </c>
      <c r="AN309" s="573"/>
      <c r="AP309" s="240"/>
      <c r="AQ309" s="570"/>
      <c r="AR309" s="241"/>
      <c r="AS309" s="723"/>
      <c r="AT309" s="777"/>
      <c r="AU309" s="777"/>
      <c r="AV309" s="778"/>
      <c r="AW309" s="570"/>
      <c r="AX309" s="723"/>
      <c r="AY309" s="240"/>
      <c r="AZ309" s="570"/>
      <c r="BA309" s="770"/>
      <c r="BB309" s="570"/>
      <c r="BC309" s="723"/>
      <c r="BD309" s="723"/>
      <c r="BE309" s="723"/>
      <c r="BF309" s="624"/>
      <c r="BG309" s="570"/>
      <c r="BH309" s="769"/>
      <c r="BI309" s="769"/>
      <c r="BJ309" s="769"/>
      <c r="BK309" s="769"/>
      <c r="BL309" s="769"/>
      <c r="BM309" s="769"/>
      <c r="BN309" s="574"/>
      <c r="BO309" s="574"/>
      <c r="BP309" s="574"/>
      <c r="BY309" s="437">
        <v>9.9860000000000007</v>
      </c>
    </row>
    <row r="310" spans="1:77" ht="15" customHeight="1" x14ac:dyDescent="0.15">
      <c r="A310" s="782" t="str">
        <f>'r-in'!A264</f>
        <v>223_U</v>
      </c>
      <c r="B310" s="258" t="s">
        <v>548</v>
      </c>
      <c r="C310" s="162">
        <f>'r-in'!P264</f>
        <v>1008.7552040707218</v>
      </c>
      <c r="D310" s="162">
        <f>'r-in'!Q264</f>
        <v>20.417648419656008</v>
      </c>
      <c r="E310" s="81">
        <f>'r-in'!R264</f>
        <v>1708206.2761893789</v>
      </c>
      <c r="F310" s="162">
        <f>'r-in'!S264</f>
        <v>0.76916672444879708</v>
      </c>
      <c r="G310" s="81">
        <f>'r-in'!T264</f>
        <v>-628.20899675094518</v>
      </c>
      <c r="H310" s="162">
        <f>'r-in'!U264</f>
        <v>-101.41185207476219</v>
      </c>
      <c r="I310" s="81">
        <f>'r-in'!V264</f>
        <v>260.14035712501828</v>
      </c>
      <c r="J310" s="162">
        <f>'r-in'!W264</f>
        <v>123.95743134332416</v>
      </c>
      <c r="K310" s="81">
        <f>'r-in'!X264</f>
        <v>7706063.5922516417</v>
      </c>
      <c r="L310" s="162">
        <f>'r-in'!Y264</f>
        <v>0.78702004661481528</v>
      </c>
      <c r="M310" s="81">
        <f>'r-in'!Z264</f>
        <v>346.11590499974523</v>
      </c>
      <c r="N310" s="162">
        <f>'r-in'!AA264</f>
        <v>60.797039394194179</v>
      </c>
      <c r="O310" s="81">
        <f>'r-in'!AB264</f>
        <v>1674889.4957852892</v>
      </c>
      <c r="P310" s="162">
        <f>'r-in'!AC264</f>
        <v>0.7874400242079036</v>
      </c>
      <c r="Q310" s="81">
        <f>'r-in'!AD264</f>
        <v>7633838.8747141641</v>
      </c>
      <c r="R310" s="162">
        <f>'r-in'!AE264</f>
        <v>0.79473285693501161</v>
      </c>
      <c r="S310" s="157">
        <f>'r-in'!AF264</f>
        <v>4.5568395729330957</v>
      </c>
      <c r="T310" s="157">
        <f>'r-in'!AG264</f>
        <v>1.7946624701999193E-2</v>
      </c>
      <c r="U310" s="157">
        <f>'r-in'!AH264</f>
        <v>4.5576550039766106</v>
      </c>
      <c r="V310" s="157">
        <f>'r-in'!AI264</f>
        <v>2.4359813853224856E-2</v>
      </c>
      <c r="W310" s="158">
        <v>223</v>
      </c>
      <c r="X310" s="764">
        <f t="shared" si="115"/>
        <v>0.88309760055361852</v>
      </c>
      <c r="Y310" s="387">
        <f t="shared" si="117"/>
        <v>4.0248541981629371</v>
      </c>
      <c r="Z310" s="640">
        <f t="shared" si="118"/>
        <v>1.7946624701999193E-2</v>
      </c>
      <c r="AA310" s="473">
        <f t="shared" si="120"/>
        <v>-7.3118268188587798</v>
      </c>
      <c r="AB310" s="478">
        <f t="shared" si="121"/>
        <v>0.17815402090182175</v>
      </c>
      <c r="AC310" s="108">
        <v>1</v>
      </c>
      <c r="AD310" s="159">
        <f t="shared" si="116"/>
        <v>0.34285714285714286</v>
      </c>
      <c r="AE310" s="160">
        <v>130</v>
      </c>
      <c r="AF310" s="160">
        <v>14</v>
      </c>
      <c r="AG310" s="160">
        <v>2.1</v>
      </c>
      <c r="AH310" s="303">
        <f t="shared" si="119"/>
        <v>12.227806099343182</v>
      </c>
      <c r="AI310" s="86">
        <f t="shared" si="122"/>
        <v>22055.729784274961</v>
      </c>
      <c r="AJ310" s="86"/>
      <c r="AK310" s="86"/>
      <c r="AL310" s="775"/>
      <c r="AM310" s="775"/>
      <c r="AN310" s="536"/>
      <c r="AP310" s="53"/>
      <c r="AQ310" s="108"/>
      <c r="AR310" s="108"/>
      <c r="AS310" s="724"/>
      <c r="AT310" s="724"/>
      <c r="AU310" s="724"/>
      <c r="AV310" s="634"/>
      <c r="AW310" s="108"/>
      <c r="AX310" s="725"/>
      <c r="AY310" s="53"/>
      <c r="AZ310" s="108"/>
      <c r="BA310" s="771"/>
      <c r="BB310" s="108"/>
      <c r="BC310" s="724"/>
      <c r="BD310" s="724"/>
      <c r="BE310" s="724"/>
      <c r="BF310" s="634"/>
      <c r="BG310" s="108"/>
      <c r="BH310" s="725"/>
      <c r="BI310" s="725"/>
      <c r="BJ310" s="725"/>
      <c r="BK310" s="725"/>
      <c r="BL310" s="634"/>
      <c r="BM310" s="724"/>
      <c r="BN310" s="475"/>
      <c r="BO310" s="475"/>
      <c r="BP310" s="10"/>
      <c r="BY310" s="14">
        <v>9.9860000000000007</v>
      </c>
    </row>
    <row r="311" spans="1:77" ht="15" customHeight="1" x14ac:dyDescent="0.15">
      <c r="A311" s="782" t="str">
        <f>'r-in'!A265</f>
        <v>224_U</v>
      </c>
      <c r="B311" s="258" t="s">
        <v>548</v>
      </c>
      <c r="C311" s="162">
        <f>'r-in'!P265</f>
        <v>949.01975690066377</v>
      </c>
      <c r="D311" s="162">
        <f>'r-in'!Q265</f>
        <v>17.481329679237341</v>
      </c>
      <c r="E311" s="81">
        <f>'r-in'!R265</f>
        <v>1767244.1229160789</v>
      </c>
      <c r="F311" s="162">
        <f>'r-in'!S265</f>
        <v>0.48529487069454053</v>
      </c>
      <c r="G311" s="81">
        <f>'r-in'!T265</f>
        <v>-547.81471336353411</v>
      </c>
      <c r="H311" s="162">
        <f>'r-in'!U265</f>
        <v>-109.59080058581688</v>
      </c>
      <c r="I311" s="81">
        <f>'r-in'!V265</f>
        <v>264.48889953834038</v>
      </c>
      <c r="J311" s="162">
        <f>'r-in'!W265</f>
        <v>103.1614792747102</v>
      </c>
      <c r="K311" s="81">
        <f>'r-in'!X265</f>
        <v>7978785.6043603299</v>
      </c>
      <c r="L311" s="162">
        <f>'r-in'!Y265</f>
        <v>0.48908994521809551</v>
      </c>
      <c r="M311" s="81">
        <f>'r-in'!Z265</f>
        <v>976.23101500882581</v>
      </c>
      <c r="N311" s="162">
        <f>'r-in'!AA265</f>
        <v>22.867942014127419</v>
      </c>
      <c r="O311" s="81">
        <f>'r-in'!AB265</f>
        <v>1733933.0088618409</v>
      </c>
      <c r="P311" s="162">
        <f>'r-in'!AC265</f>
        <v>0.49534907439527615</v>
      </c>
      <c r="Q311" s="81">
        <f>'r-in'!AD265</f>
        <v>7905325.0478116591</v>
      </c>
      <c r="R311" s="162">
        <f>'r-in'!AE265</f>
        <v>0.49304829412323214</v>
      </c>
      <c r="S311" s="157">
        <f>'r-in'!AF265</f>
        <v>4.5588235483492907</v>
      </c>
      <c r="T311" s="157">
        <f>'r-in'!AG265</f>
        <v>1.0124372714555629E-2</v>
      </c>
      <c r="U311" s="157">
        <f>'r-in'!AH265</f>
        <v>4.5592355388565027</v>
      </c>
      <c r="V311" s="157">
        <f>'r-in'!AI265</f>
        <v>1.9509472153460935E-2</v>
      </c>
      <c r="W311" s="158">
        <v>224</v>
      </c>
      <c r="X311" s="764">
        <f t="shared" si="115"/>
        <v>0.88310593638796764</v>
      </c>
      <c r="Y311" s="387">
        <f t="shared" si="117"/>
        <v>4.0262879697551721</v>
      </c>
      <c r="Z311" s="640">
        <f t="shared" si="118"/>
        <v>1.0124372714555629E-2</v>
      </c>
      <c r="AA311" s="473">
        <f t="shared" si="120"/>
        <v>-6.9582020581644421</v>
      </c>
      <c r="AB311" s="478">
        <f t="shared" si="121"/>
        <v>0.10053925283504128</v>
      </c>
      <c r="AC311" s="108">
        <v>1</v>
      </c>
      <c r="AD311" s="159">
        <f t="shared" si="116"/>
        <v>0.34285714285714286</v>
      </c>
      <c r="AE311" s="160">
        <v>130</v>
      </c>
      <c r="AF311" s="160">
        <v>14</v>
      </c>
      <c r="AG311" s="160">
        <v>2.1</v>
      </c>
      <c r="AH311" s="303">
        <f t="shared" si="119"/>
        <v>12.671381508865668</v>
      </c>
      <c r="AI311" s="86">
        <f t="shared" si="122"/>
        <v>8097.8015718340903</v>
      </c>
      <c r="AJ311" s="86"/>
      <c r="AK311" s="86"/>
      <c r="AL311" s="86"/>
      <c r="AM311" s="86"/>
      <c r="AN311" s="536"/>
      <c r="AP311" s="53"/>
      <c r="AQ311" s="108"/>
      <c r="AR311" s="110"/>
      <c r="AS311" s="724"/>
      <c r="AT311" s="750"/>
      <c r="AU311" s="750"/>
      <c r="AV311" s="751"/>
      <c r="AW311" s="108"/>
      <c r="AX311" s="724"/>
      <c r="AY311" s="53"/>
      <c r="AZ311" s="108"/>
      <c r="BA311" s="771"/>
      <c r="BB311" s="108"/>
      <c r="BC311" s="724"/>
      <c r="BD311" s="724"/>
      <c r="BE311" s="724"/>
      <c r="BF311" s="634"/>
      <c r="BG311" s="108"/>
      <c r="BH311" s="725"/>
      <c r="BI311" s="725"/>
      <c r="BJ311" s="725"/>
      <c r="BK311" s="725"/>
      <c r="BL311" s="725"/>
      <c r="BM311" s="725"/>
      <c r="BN311" s="475"/>
      <c r="BO311" s="475"/>
      <c r="BP311" s="475"/>
      <c r="BY311" s="14">
        <v>9.9860000000000007</v>
      </c>
    </row>
    <row r="312" spans="1:77" ht="15" customHeight="1" x14ac:dyDescent="0.15">
      <c r="A312" s="782" t="str">
        <f>'r-in'!A266</f>
        <v>225_U</v>
      </c>
      <c r="B312" s="258" t="s">
        <v>548</v>
      </c>
      <c r="C312" s="162">
        <f>'r-in'!P266</f>
        <v>1387.2175787443423</v>
      </c>
      <c r="D312" s="162">
        <f>'r-in'!Q266</f>
        <v>13.448212642252168</v>
      </c>
      <c r="E312" s="81">
        <f>'r-in'!R266</f>
        <v>1457776.7644981081</v>
      </c>
      <c r="F312" s="162">
        <f>'r-in'!S266</f>
        <v>1.2625677774208626</v>
      </c>
      <c r="G312" s="81">
        <f>'r-in'!T266</f>
        <v>-160.68547212678769</v>
      </c>
      <c r="H312" s="162">
        <f>'r-in'!U266</f>
        <v>-393.13745578649758</v>
      </c>
      <c r="I312" s="81">
        <f>'r-in'!V266</f>
        <v>679.33208868106999</v>
      </c>
      <c r="J312" s="162">
        <f>'r-in'!W266</f>
        <v>42.5881266591892</v>
      </c>
      <c r="K312" s="81">
        <f>'r-in'!X266</f>
        <v>6563047.1321832528</v>
      </c>
      <c r="L312" s="162">
        <f>'r-in'!Y266</f>
        <v>1.2804371595785686</v>
      </c>
      <c r="M312" s="81">
        <f>'r-in'!Z266</f>
        <v>920.88422400552656</v>
      </c>
      <c r="N312" s="162">
        <f>'r-in'!AA266</f>
        <v>30.873054819618975</v>
      </c>
      <c r="O312" s="81">
        <f>'r-in'!AB266</f>
        <v>1423956.2754208778</v>
      </c>
      <c r="P312" s="162">
        <f>'r-in'!AC266</f>
        <v>1.2928385728142171</v>
      </c>
      <c r="Q312" s="81">
        <f>'r-in'!AD266</f>
        <v>6489407.126738294</v>
      </c>
      <c r="R312" s="162">
        <f>'r-in'!AE266</f>
        <v>1.2952484478742936</v>
      </c>
      <c r="S312" s="157">
        <f>'r-in'!AF266</f>
        <v>4.555564283532072</v>
      </c>
      <c r="T312" s="157">
        <f>'r-in'!AG266</f>
        <v>1.5492925300824764E-2</v>
      </c>
      <c r="U312" s="157">
        <f>'r-in'!AH266</f>
        <v>4.5572125582081107</v>
      </c>
      <c r="V312" s="157">
        <f>'r-in'!AI266</f>
        <v>1.9091049598603423E-2</v>
      </c>
      <c r="W312" s="158">
        <v>225</v>
      </c>
      <c r="X312" s="764">
        <f t="shared" si="115"/>
        <v>0.88311422153660857</v>
      </c>
      <c r="Y312" s="387">
        <f t="shared" si="117"/>
        <v>4.024539220718812</v>
      </c>
      <c r="Z312" s="640">
        <f t="shared" si="118"/>
        <v>1.5492925300824764E-2</v>
      </c>
      <c r="AA312" s="473">
        <f t="shared" si="120"/>
        <v>-7.3895127096282875</v>
      </c>
      <c r="AB312" s="478">
        <f t="shared" si="121"/>
        <v>0.15378440132418625</v>
      </c>
      <c r="AC312" s="108">
        <v>1</v>
      </c>
      <c r="AD312" s="159">
        <f t="shared" si="116"/>
        <v>0.34285714285714286</v>
      </c>
      <c r="AE312" s="160">
        <v>130</v>
      </c>
      <c r="AF312" s="160">
        <v>14</v>
      </c>
      <c r="AG312" s="160">
        <v>2.1</v>
      </c>
      <c r="AH312" s="303">
        <f t="shared" si="119"/>
        <v>10.409065906503745</v>
      </c>
      <c r="AI312" s="86">
        <f t="shared" si="122"/>
        <v>7046.9305017645183</v>
      </c>
      <c r="AJ312" s="86"/>
      <c r="AK312" s="86"/>
      <c r="AL312" s="775"/>
      <c r="AM312" s="775"/>
      <c r="AN312" s="536"/>
      <c r="AP312" s="53"/>
      <c r="AQ312" s="108"/>
      <c r="AR312" s="108"/>
      <c r="AS312" s="724"/>
      <c r="AT312" s="724"/>
      <c r="AU312" s="724"/>
      <c r="AV312" s="634"/>
      <c r="AW312" s="108"/>
      <c r="AX312" s="725"/>
      <c r="AY312" s="53"/>
      <c r="AZ312" s="108"/>
      <c r="BA312" s="771"/>
      <c r="BB312" s="108"/>
      <c r="BC312" s="724"/>
      <c r="BD312" s="724"/>
      <c r="BE312" s="724"/>
      <c r="BF312" s="634"/>
      <c r="BG312" s="108"/>
      <c r="BH312" s="725"/>
      <c r="BI312" s="725"/>
      <c r="BJ312" s="725"/>
      <c r="BK312" s="725"/>
      <c r="BL312" s="634"/>
      <c r="BM312" s="724"/>
      <c r="BN312" s="475"/>
      <c r="BO312" s="475"/>
      <c r="BP312" s="10"/>
      <c r="BY312" s="14">
        <v>9.9860000000000007</v>
      </c>
    </row>
    <row r="313" spans="1:77" ht="15" customHeight="1" x14ac:dyDescent="0.15">
      <c r="A313" s="782" t="str">
        <f>'r-in'!A267</f>
        <v>226_U</v>
      </c>
      <c r="B313" s="258" t="s">
        <v>548</v>
      </c>
      <c r="C313" s="162">
        <f>'r-in'!P267</f>
        <v>960.44640033149358</v>
      </c>
      <c r="D313" s="162">
        <f>'r-in'!Q267</f>
        <v>20.889320946160328</v>
      </c>
      <c r="E313" s="81">
        <f>'r-in'!R267</f>
        <v>1709875.9585196804</v>
      </c>
      <c r="F313" s="162">
        <f>'r-in'!S267</f>
        <v>0.91519668523813325</v>
      </c>
      <c r="G313" s="81">
        <f>'r-in'!T267</f>
        <v>-521.55753306476345</v>
      </c>
      <c r="H313" s="162">
        <f>'r-in'!U267</f>
        <v>-111.37121940877442</v>
      </c>
      <c r="I313" s="81">
        <f>'r-in'!V267</f>
        <v>282.69782940032371</v>
      </c>
      <c r="J313" s="162">
        <f>'r-in'!W267</f>
        <v>103.92988532406686</v>
      </c>
      <c r="K313" s="81">
        <f>'r-in'!X267</f>
        <v>7711718.8777978523</v>
      </c>
      <c r="L313" s="162">
        <f>'r-in'!Y267</f>
        <v>0.92464037850997427</v>
      </c>
      <c r="M313" s="81">
        <f>'r-in'!Z267</f>
        <v>360.66297854593472</v>
      </c>
      <c r="N313" s="162">
        <f>'r-in'!AA267</f>
        <v>67.817017978826854</v>
      </c>
      <c r="O313" s="81">
        <f>'r-in'!AB267</f>
        <v>1676250.500788942</v>
      </c>
      <c r="P313" s="162">
        <f>'r-in'!AC267</f>
        <v>0.93484358236876886</v>
      </c>
      <c r="Q313" s="81">
        <f>'r-in'!AD267</f>
        <v>7638559.7477271818</v>
      </c>
      <c r="R313" s="162">
        <f>'r-in'!AE267</f>
        <v>0.93334940476657502</v>
      </c>
      <c r="S313" s="157">
        <f>'r-in'!AF267</f>
        <v>4.5561458462050197</v>
      </c>
      <c r="T313" s="157">
        <f>'r-in'!AG267</f>
        <v>1.5189574391946407E-2</v>
      </c>
      <c r="U313" s="157">
        <f>'r-in'!AH267</f>
        <v>4.5569907932998293</v>
      </c>
      <c r="V313" s="157">
        <f>'r-in'!AI267</f>
        <v>2.3981634259604451E-2</v>
      </c>
      <c r="W313" s="158">
        <v>226</v>
      </c>
      <c r="X313" s="764">
        <f t="shared" si="115"/>
        <v>0.88312246202303102</v>
      </c>
      <c r="Y313" s="387">
        <f t="shared" si="117"/>
        <v>4.0243809287952308</v>
      </c>
      <c r="Z313" s="640">
        <f t="shared" si="118"/>
        <v>1.5189574391946407E-2</v>
      </c>
      <c r="AA313" s="473">
        <f t="shared" si="120"/>
        <v>-7.4285537562631676</v>
      </c>
      <c r="AB313" s="478">
        <f t="shared" si="121"/>
        <v>0.15076737822050656</v>
      </c>
      <c r="AC313" s="108">
        <v>1</v>
      </c>
      <c r="AD313" s="159">
        <f t="shared" si="116"/>
        <v>0.34285714285714286</v>
      </c>
      <c r="AE313" s="160">
        <v>130</v>
      </c>
      <c r="AF313" s="160">
        <v>14</v>
      </c>
      <c r="AG313" s="160">
        <v>2.1</v>
      </c>
      <c r="AH313" s="303">
        <f t="shared" si="119"/>
        <v>12.26096430968053</v>
      </c>
      <c r="AI313" s="86">
        <f t="shared" si="122"/>
        <v>21179.217724322985</v>
      </c>
      <c r="AJ313" s="86"/>
      <c r="AK313" s="86"/>
      <c r="AL313" s="86"/>
      <c r="AM313" s="86"/>
      <c r="AN313" s="536"/>
      <c r="AP313" s="53"/>
      <c r="AQ313" s="108"/>
      <c r="AR313" s="110"/>
      <c r="AS313" s="724"/>
      <c r="AT313" s="750"/>
      <c r="AU313" s="750"/>
      <c r="AV313" s="751"/>
      <c r="AW313" s="108"/>
      <c r="AX313" s="724"/>
      <c r="AY313" s="53"/>
      <c r="AZ313" s="108"/>
      <c r="BA313" s="771"/>
      <c r="BB313" s="108"/>
      <c r="BC313" s="724"/>
      <c r="BD313" s="724"/>
      <c r="BE313" s="724"/>
      <c r="BF313" s="634"/>
      <c r="BG313" s="108"/>
      <c r="BH313" s="725"/>
      <c r="BI313" s="725"/>
      <c r="BJ313" s="725"/>
      <c r="BK313" s="725"/>
      <c r="BL313" s="725"/>
      <c r="BM313" s="725"/>
      <c r="BN313" s="475"/>
      <c r="BO313" s="475"/>
      <c r="BP313" s="475"/>
      <c r="BY313" s="14">
        <v>9.9860000000000007</v>
      </c>
    </row>
    <row r="314" spans="1:77" ht="15" customHeight="1" x14ac:dyDescent="0.15">
      <c r="A314" s="782" t="str">
        <f>'r-in'!A268</f>
        <v>227_U</v>
      </c>
      <c r="B314" s="258" t="s">
        <v>548</v>
      </c>
      <c r="C314" s="162">
        <f>'r-in'!P268</f>
        <v>1229.6618085987216</v>
      </c>
      <c r="D314" s="162">
        <f>'r-in'!Q268</f>
        <v>14.717633548143503</v>
      </c>
      <c r="E314" s="81">
        <f>'r-in'!R268</f>
        <v>2001837.2293330927</v>
      </c>
      <c r="F314" s="162">
        <f>'r-in'!S268</f>
        <v>1.118219884962995</v>
      </c>
      <c r="G314" s="81">
        <f>'r-in'!T268</f>
        <v>648.70692708453544</v>
      </c>
      <c r="H314" s="162">
        <f>'r-in'!U268</f>
        <v>90.86225753455841</v>
      </c>
      <c r="I314" s="81">
        <f>'r-in'!V268</f>
        <v>963.98009760663035</v>
      </c>
      <c r="J314" s="162">
        <f>'r-in'!W268</f>
        <v>31.344928252328984</v>
      </c>
      <c r="K314" s="81">
        <f>'r-in'!X268</f>
        <v>9045843.4362705704</v>
      </c>
      <c r="L314" s="162">
        <f>'r-in'!Y268</f>
        <v>1.1275109557925307</v>
      </c>
      <c r="M314" s="81">
        <f>'r-in'!Z268</f>
        <v>979.63146174731708</v>
      </c>
      <c r="N314" s="162">
        <f>'r-in'!AA268</f>
        <v>25.30228721306354</v>
      </c>
      <c r="O314" s="81">
        <f>'r-in'!AB268</f>
        <v>1967550.4914326954</v>
      </c>
      <c r="P314" s="162">
        <f>'r-in'!AC268</f>
        <v>1.1330524640576534</v>
      </c>
      <c r="Q314" s="81">
        <f>'r-in'!AD268</f>
        <v>8971475.0540792271</v>
      </c>
      <c r="R314" s="162">
        <f>'r-in'!AE268</f>
        <v>1.1368002247162985</v>
      </c>
      <c r="S314" s="157">
        <f>'r-in'!AF268</f>
        <v>4.5566236431364677</v>
      </c>
      <c r="T314" s="157">
        <f>'r-in'!AG268</f>
        <v>1.1598243619034013E-2</v>
      </c>
      <c r="U314" s="157">
        <f>'r-in'!AH268</f>
        <v>4.5595910920811278</v>
      </c>
      <c r="V314" s="157">
        <f>'r-in'!AI268</f>
        <v>1.5830172409152393E-2</v>
      </c>
      <c r="W314" s="158">
        <v>227</v>
      </c>
      <c r="X314" s="764">
        <f t="shared" si="115"/>
        <v>0.88313066398912921</v>
      </c>
      <c r="Y314" s="387">
        <f t="shared" si="117"/>
        <v>4.0267147086685249</v>
      </c>
      <c r="Z314" s="640">
        <f t="shared" si="118"/>
        <v>1.1598243619034013E-2</v>
      </c>
      <c r="AA314" s="473">
        <f t="shared" si="120"/>
        <v>-6.8529513704463918</v>
      </c>
      <c r="AB314" s="478">
        <f t="shared" si="121"/>
        <v>0.11518761419537782</v>
      </c>
      <c r="AC314" s="108">
        <v>1</v>
      </c>
      <c r="AD314" s="159">
        <f t="shared" si="116"/>
        <v>0.34285714285714286</v>
      </c>
      <c r="AE314" s="160">
        <v>130</v>
      </c>
      <c r="AF314" s="160">
        <v>14</v>
      </c>
      <c r="AG314" s="160">
        <v>2.1</v>
      </c>
      <c r="AH314" s="303">
        <f t="shared" si="119"/>
        <v>14.410777463638189</v>
      </c>
      <c r="AI314" s="86">
        <f t="shared" si="122"/>
        <v>9158.0103379665652</v>
      </c>
      <c r="AJ314" s="86"/>
      <c r="AK314" s="86"/>
      <c r="AL314" s="775"/>
      <c r="AM314" s="775"/>
      <c r="AN314" s="536"/>
      <c r="AP314" s="53"/>
      <c r="AQ314" s="108"/>
      <c r="AR314" s="108"/>
      <c r="AS314" s="724"/>
      <c r="AT314" s="724"/>
      <c r="AU314" s="724"/>
      <c r="AV314" s="634"/>
      <c r="AW314" s="108"/>
      <c r="AX314" s="725"/>
      <c r="AY314" s="53"/>
      <c r="AZ314" s="108"/>
      <c r="BA314" s="771"/>
      <c r="BB314" s="108"/>
      <c r="BC314" s="724"/>
      <c r="BD314" s="724"/>
      <c r="BE314" s="724"/>
      <c r="BF314" s="634"/>
      <c r="BG314" s="108"/>
      <c r="BH314" s="725"/>
      <c r="BI314" s="725"/>
      <c r="BJ314" s="725"/>
      <c r="BK314" s="725"/>
      <c r="BL314" s="634"/>
      <c r="BM314" s="724"/>
      <c r="BN314" s="475"/>
      <c r="BO314" s="475"/>
      <c r="BP314" s="10"/>
      <c r="BY314" s="14">
        <v>9.9860000000000007</v>
      </c>
    </row>
    <row r="315" spans="1:77" ht="15" customHeight="1" x14ac:dyDescent="0.15">
      <c r="A315" s="782" t="str">
        <f>'r-in'!A269</f>
        <v>228_U</v>
      </c>
      <c r="B315" s="258" t="s">
        <v>548</v>
      </c>
      <c r="C315" s="162">
        <f>'r-in'!P269</f>
        <v>-19420.043654979716</v>
      </c>
      <c r="D315" s="162">
        <f>'r-in'!Q269</f>
        <v>-12.52152113986498</v>
      </c>
      <c r="E315" s="81">
        <f>'r-in'!R269</f>
        <v>4202189.7342810119</v>
      </c>
      <c r="F315" s="162">
        <f>'r-in'!S269</f>
        <v>15.682207479596718</v>
      </c>
      <c r="G315" s="81">
        <f>'r-in'!T269</f>
        <v>-65936.19178386539</v>
      </c>
      <c r="H315" s="162">
        <f>'r-in'!U269</f>
        <v>-11.527674610496382</v>
      </c>
      <c r="I315" s="81">
        <f>'r-in'!V269</f>
        <v>-40692.762444144653</v>
      </c>
      <c r="J315" s="162">
        <f>'r-in'!W269</f>
        <v>-11.771605918996608</v>
      </c>
      <c r="K315" s="81">
        <f>'r-in'!X269</f>
        <v>21989312.733318917</v>
      </c>
      <c r="L315" s="162">
        <f>'r-in'!Y269</f>
        <v>6.3354582378836293</v>
      </c>
      <c r="M315" s="81">
        <f>'r-in'!Z269</f>
        <v>-92559.857780911087</v>
      </c>
      <c r="N315" s="162">
        <f>'r-in'!AA269</f>
        <v>-10.878529984594069</v>
      </c>
      <c r="O315" s="81">
        <f>'r-in'!AB269</f>
        <v>4209583.7363372035</v>
      </c>
      <c r="P315" s="162">
        <f>'r-in'!AC269</f>
        <v>15.636669211212624</v>
      </c>
      <c r="Q315" s="81">
        <f>'r-in'!AD269</f>
        <v>22008502.762847185</v>
      </c>
      <c r="R315" s="162">
        <f>'r-in'!AE269</f>
        <v>6.3706438729331758</v>
      </c>
      <c r="S315" s="157">
        <f>'r-in'!AF269</f>
        <v>9.6724437610152076</v>
      </c>
      <c r="T315" s="157">
        <f>'r-in'!AG269</f>
        <v>10.521222564170959</v>
      </c>
      <c r="U315" s="157">
        <f>'r-in'!AH269</f>
        <v>9.3453545137276901</v>
      </c>
      <c r="V315" s="157">
        <f>'r-in'!AI269</f>
        <v>10.16634403007561</v>
      </c>
      <c r="W315" s="158">
        <v>228</v>
      </c>
      <c r="X315" s="764">
        <f t="shared" si="115"/>
        <v>0.8831388336952064</v>
      </c>
      <c r="Y315" s="387">
        <f t="shared" si="117"/>
        <v>8.2532454857217044</v>
      </c>
      <c r="Z315" s="640">
        <f t="shared" si="118"/>
        <v>10.521222564170959</v>
      </c>
      <c r="AA315" s="473"/>
      <c r="AB315" s="478">
        <f t="shared" si="121"/>
        <v>-821.40909098570262</v>
      </c>
      <c r="AC315" s="108">
        <v>1</v>
      </c>
      <c r="AD315" s="159">
        <f t="shared" si="116"/>
        <v>0.34285714285714286</v>
      </c>
      <c r="AE315" s="160">
        <v>130</v>
      </c>
      <c r="AF315" s="160">
        <v>14</v>
      </c>
      <c r="AG315" s="160">
        <v>2.1</v>
      </c>
      <c r="AH315" s="303">
        <f t="shared" si="119"/>
        <v>35.377615148041343</v>
      </c>
      <c r="AI315" s="86">
        <f t="shared" si="122"/>
        <v>-237.775892168517</v>
      </c>
      <c r="AJ315" s="86" t="s">
        <v>931</v>
      </c>
      <c r="AK315" s="86"/>
      <c r="AL315" s="86"/>
      <c r="AM315" s="86"/>
      <c r="AN315" s="536"/>
      <c r="AP315" s="53"/>
      <c r="AQ315" s="108"/>
      <c r="AR315" s="110"/>
      <c r="AS315" s="724"/>
      <c r="AT315" s="750"/>
      <c r="AU315" s="750"/>
      <c r="AV315" s="751"/>
      <c r="AW315" s="108"/>
      <c r="AX315" s="724"/>
      <c r="AY315" s="53"/>
      <c r="AZ315" s="108"/>
      <c r="BA315" s="771"/>
      <c r="BB315" s="108"/>
      <c r="BC315" s="724"/>
      <c r="BD315" s="724"/>
      <c r="BE315" s="724"/>
      <c r="BF315" s="634"/>
      <c r="BG315" s="108"/>
      <c r="BH315" s="725"/>
      <c r="BI315" s="725"/>
      <c r="BJ315" s="725"/>
      <c r="BK315" s="725"/>
      <c r="BL315" s="725"/>
      <c r="BM315" s="725"/>
      <c r="BN315" s="475"/>
      <c r="BO315" s="475"/>
      <c r="BP315" s="475"/>
      <c r="BY315" s="14">
        <v>9.9860000000000007</v>
      </c>
    </row>
    <row r="316" spans="1:77" ht="15" customHeight="1" x14ac:dyDescent="0.15">
      <c r="A316" s="782" t="str">
        <f>'r-in'!A270</f>
        <v>229_U</v>
      </c>
      <c r="B316" s="258" t="s">
        <v>548</v>
      </c>
      <c r="C316" s="162">
        <f>'r-in'!P270</f>
        <v>721.72075198598441</v>
      </c>
      <c r="D316" s="162">
        <f>'r-in'!Q270</f>
        <v>23.29197454389513</v>
      </c>
      <c r="E316" s="81">
        <f>'r-in'!R270</f>
        <v>1840242.1897441142</v>
      </c>
      <c r="F316" s="162">
        <f>'r-in'!S270</f>
        <v>1.8723356923409713</v>
      </c>
      <c r="G316" s="81">
        <f>'r-in'!T270</f>
        <v>778.42455098736787</v>
      </c>
      <c r="H316" s="162">
        <f>'r-in'!U270</f>
        <v>70.980221600300851</v>
      </c>
      <c r="I316" s="81">
        <f>'r-in'!V270</f>
        <v>747.65247718153421</v>
      </c>
      <c r="J316" s="162">
        <f>'r-in'!W270</f>
        <v>34.42960112353245</v>
      </c>
      <c r="K316" s="81">
        <f>'r-in'!X270</f>
        <v>8311542.7823726218</v>
      </c>
      <c r="L316" s="162">
        <f>'r-in'!Y270</f>
        <v>1.891228317537103</v>
      </c>
      <c r="M316" s="81">
        <f>'r-in'!Z270</f>
        <v>469.81691410170549</v>
      </c>
      <c r="N316" s="162">
        <f>'r-in'!AA270</f>
        <v>42.227801286493104</v>
      </c>
      <c r="O316" s="81">
        <f>'r-in'!AB270</f>
        <v>1805423.8505668612</v>
      </c>
      <c r="P316" s="162">
        <f>'r-in'!AC270</f>
        <v>1.9073766627098827</v>
      </c>
      <c r="Q316" s="81">
        <f>'r-in'!AD270</f>
        <v>8235627.9928871458</v>
      </c>
      <c r="R316" s="162">
        <f>'r-in'!AE270</f>
        <v>1.9085636109244832</v>
      </c>
      <c r="S316" s="157">
        <f>'r-in'!AF270</f>
        <v>4.5601761010966815</v>
      </c>
      <c r="T316" s="157">
        <f>'r-in'!AG270</f>
        <v>1.5630112567379041E-2</v>
      </c>
      <c r="U316" s="157">
        <f>'r-in'!AH270</f>
        <v>4.561570893930921</v>
      </c>
      <c r="V316" s="157">
        <f>'r-in'!AI270</f>
        <v>1.9592402765159455E-2</v>
      </c>
      <c r="W316" s="158">
        <v>229</v>
      </c>
      <c r="X316" s="764">
        <f t="shared" si="115"/>
        <v>0.88314697751998172</v>
      </c>
      <c r="Y316" s="387">
        <f t="shared" si="117"/>
        <v>4.0285375477182139</v>
      </c>
      <c r="Z316" s="640">
        <f t="shared" si="118"/>
        <v>1.5630112567379041E-2</v>
      </c>
      <c r="AA316" s="473">
        <f t="shared" si="120"/>
        <v>-6.4033671924493829</v>
      </c>
      <c r="AB316" s="478">
        <f t="shared" si="121"/>
        <v>0.15530027217358633</v>
      </c>
      <c r="AC316" s="108">
        <v>1</v>
      </c>
      <c r="AD316" s="159">
        <f t="shared" si="116"/>
        <v>0.34285714285714286</v>
      </c>
      <c r="AE316" s="160">
        <v>130</v>
      </c>
      <c r="AF316" s="160">
        <v>14</v>
      </c>
      <c r="AG316" s="160">
        <v>2.1</v>
      </c>
      <c r="AH316" s="303">
        <f t="shared" si="119"/>
        <v>13.248095478156625</v>
      </c>
      <c r="AI316" s="86">
        <f t="shared" si="122"/>
        <v>17529.441247626743</v>
      </c>
      <c r="AJ316" s="86"/>
      <c r="AK316" s="86"/>
      <c r="AL316" s="775"/>
      <c r="AM316" s="775"/>
      <c r="AN316" s="536"/>
      <c r="AP316" s="53"/>
      <c r="AQ316" s="108"/>
      <c r="AR316" s="108"/>
      <c r="AS316" s="724"/>
      <c r="AT316" s="724"/>
      <c r="AU316" s="724"/>
      <c r="AV316" s="634"/>
      <c r="AW316" s="108"/>
      <c r="AX316" s="725"/>
      <c r="AY316" s="53"/>
      <c r="AZ316" s="108"/>
      <c r="BA316" s="771"/>
      <c r="BB316" s="108"/>
      <c r="BC316" s="724"/>
      <c r="BD316" s="724"/>
      <c r="BE316" s="724"/>
      <c r="BF316" s="634"/>
      <c r="BG316" s="108"/>
      <c r="BH316" s="725"/>
      <c r="BI316" s="725"/>
      <c r="BJ316" s="725"/>
      <c r="BK316" s="725"/>
      <c r="BL316" s="634"/>
      <c r="BM316" s="724"/>
      <c r="BN316" s="475"/>
      <c r="BO316" s="475"/>
      <c r="BP316" s="10"/>
      <c r="BY316" s="14">
        <v>9.9860000000000007</v>
      </c>
    </row>
    <row r="317" spans="1:77" ht="15" customHeight="1" x14ac:dyDescent="0.15">
      <c r="A317" s="782" t="str">
        <f>'r-in'!A271</f>
        <v>230_U</v>
      </c>
      <c r="B317" s="258" t="s">
        <v>548</v>
      </c>
      <c r="C317" s="162">
        <f>'r-in'!P271</f>
        <v>1190.5288264927035</v>
      </c>
      <c r="D317" s="162">
        <f>'r-in'!Q271</f>
        <v>16.63888239011445</v>
      </c>
      <c r="E317" s="81">
        <f>'r-in'!R271</f>
        <v>1941044.1611392016</v>
      </c>
      <c r="F317" s="162">
        <f>'r-in'!S271</f>
        <v>0.78956936922407606</v>
      </c>
      <c r="G317" s="81">
        <f>'r-in'!T271</f>
        <v>1298.2741656787609</v>
      </c>
      <c r="H317" s="162">
        <f>'r-in'!U271</f>
        <v>40.399329894398299</v>
      </c>
      <c r="I317" s="81">
        <f>'r-in'!V271</f>
        <v>1239.8028182900789</v>
      </c>
      <c r="J317" s="162">
        <f>'r-in'!W271</f>
        <v>19.1352209670344</v>
      </c>
      <c r="K317" s="81">
        <f>'r-in'!X271</f>
        <v>8770226.0971781872</v>
      </c>
      <c r="L317" s="162">
        <f>'r-in'!Y271</f>
        <v>0.79795928681068662</v>
      </c>
      <c r="M317" s="81">
        <f>'r-in'!Z271</f>
        <v>-59.314585916768138</v>
      </c>
      <c r="N317" s="162">
        <f>'r-in'!AA271</f>
        <v>-528.29422540857809</v>
      </c>
      <c r="O317" s="81">
        <f>'r-in'!AB271</f>
        <v>1905913.3315155101</v>
      </c>
      <c r="P317" s="162">
        <f>'r-in'!AC271</f>
        <v>0.80514445350060926</v>
      </c>
      <c r="Q317" s="81">
        <f>'r-in'!AD271</f>
        <v>8695179.7647861708</v>
      </c>
      <c r="R317" s="162">
        <f>'r-in'!AE271</f>
        <v>0.80388137093464296</v>
      </c>
      <c r="S317" s="157">
        <f>'r-in'!AF271</f>
        <v>4.5596559039136713</v>
      </c>
      <c r="T317" s="157">
        <f>'r-in'!AG271</f>
        <v>1.146351818460984E-2</v>
      </c>
      <c r="U317" s="157">
        <f>'r-in'!AH271</f>
        <v>4.5622473683730318</v>
      </c>
      <c r="V317" s="157">
        <f>'r-in'!AI271</f>
        <v>1.4836856263180133E-2</v>
      </c>
      <c r="W317" s="158">
        <v>230</v>
      </c>
      <c r="X317" s="764">
        <f t="shared" si="115"/>
        <v>0.88315510196059532</v>
      </c>
      <c r="Y317" s="387">
        <f t="shared" si="117"/>
        <v>4.0291720397849424</v>
      </c>
      <c r="Z317" s="640">
        <f t="shared" si="118"/>
        <v>1.146351818460984E-2</v>
      </c>
      <c r="AA317" s="473">
        <f t="shared" si="120"/>
        <v>-6.2468763633142244</v>
      </c>
      <c r="AB317" s="478">
        <f t="shared" si="121"/>
        <v>0.11391907003821533</v>
      </c>
      <c r="AC317" s="108">
        <v>1</v>
      </c>
      <c r="AD317" s="159">
        <f t="shared" si="116"/>
        <v>0.34285714285714286</v>
      </c>
      <c r="AE317" s="160">
        <v>130</v>
      </c>
      <c r="AF317" s="160">
        <v>14</v>
      </c>
      <c r="AG317" s="160">
        <v>2.1</v>
      </c>
      <c r="AH317" s="303">
        <f t="shared" si="119"/>
        <v>13.997750026571174</v>
      </c>
      <c r="AI317" s="86">
        <f t="shared" si="122"/>
        <v>-146594.29262454071</v>
      </c>
      <c r="AJ317" s="86"/>
      <c r="AK317" s="86"/>
      <c r="AL317" s="86"/>
      <c r="AM317" s="86"/>
      <c r="AN317" s="536"/>
      <c r="AP317" s="53"/>
      <c r="AQ317" s="108"/>
      <c r="AR317" s="110"/>
      <c r="AS317" s="724"/>
      <c r="AT317" s="750"/>
      <c r="AU317" s="750"/>
      <c r="AV317" s="751"/>
      <c r="AW317" s="108"/>
      <c r="AX317" s="724"/>
      <c r="AY317" s="53"/>
      <c r="AZ317" s="108"/>
      <c r="BA317" s="771"/>
      <c r="BB317" s="108"/>
      <c r="BC317" s="724"/>
      <c r="BD317" s="724"/>
      <c r="BE317" s="724"/>
      <c r="BF317" s="634"/>
      <c r="BG317" s="108"/>
      <c r="BH317" s="725"/>
      <c r="BI317" s="725"/>
      <c r="BJ317" s="725"/>
      <c r="BK317" s="725"/>
      <c r="BL317" s="725"/>
      <c r="BM317" s="725"/>
      <c r="BN317" s="475"/>
      <c r="BO317" s="475"/>
      <c r="BP317" s="475"/>
      <c r="BY317" s="14">
        <v>9.9860000000000007</v>
      </c>
    </row>
    <row r="318" spans="1:77" ht="15" customHeight="1" x14ac:dyDescent="0.15">
      <c r="A318" s="782" t="str">
        <f>'r-in'!A272</f>
        <v>231_U</v>
      </c>
      <c r="B318" s="258" t="s">
        <v>548</v>
      </c>
      <c r="C318" s="162">
        <f>'r-in'!P272</f>
        <v>778.72231165655421</v>
      </c>
      <c r="D318" s="162">
        <f>'r-in'!Q272</f>
        <v>23.715228992041947</v>
      </c>
      <c r="E318" s="81">
        <f>'r-in'!R272</f>
        <v>1742427.1231474334</v>
      </c>
      <c r="F318" s="162">
        <f>'r-in'!S272</f>
        <v>2.0114474150850858</v>
      </c>
      <c r="G318" s="81">
        <f>'r-in'!T272</f>
        <v>794.22479085163889</v>
      </c>
      <c r="H318" s="162">
        <f>'r-in'!U272</f>
        <v>66.088093389429318</v>
      </c>
      <c r="I318" s="81">
        <f>'r-in'!V272</f>
        <v>785.8118900872139</v>
      </c>
      <c r="J318" s="162">
        <f>'r-in'!W272</f>
        <v>33.817532845160692</v>
      </c>
      <c r="K318" s="81">
        <f>'r-in'!X272</f>
        <v>7862685.9350960236</v>
      </c>
      <c r="L318" s="162">
        <f>'r-in'!Y272</f>
        <v>2.0346979092787882</v>
      </c>
      <c r="M318" s="81">
        <f>'r-in'!Z272</f>
        <v>426.52367189842056</v>
      </c>
      <c r="N318" s="162">
        <f>'r-in'!AA272</f>
        <v>44.52445423698699</v>
      </c>
      <c r="O318" s="81">
        <f>'r-in'!AB272</f>
        <v>1707769.0240102704</v>
      </c>
      <c r="P318" s="162">
        <f>'r-in'!AC272</f>
        <v>2.0520869086500424</v>
      </c>
      <c r="Q318" s="81">
        <f>'r-in'!AD272</f>
        <v>7787820.7498573186</v>
      </c>
      <c r="R318" s="162">
        <f>'r-in'!AE272</f>
        <v>2.0545940813864565</v>
      </c>
      <c r="S318" s="157">
        <f>'r-in'!AF272</f>
        <v>4.5574648954543377</v>
      </c>
      <c r="T318" s="157">
        <f>'r-in'!AG272</f>
        <v>1.5906040713820895E-2</v>
      </c>
      <c r="U318" s="157">
        <f>'r-in'!AH272</f>
        <v>4.5601425558057169</v>
      </c>
      <c r="V318" s="157">
        <f>'r-in'!AI272</f>
        <v>2.0363998231651664E-2</v>
      </c>
      <c r="W318" s="158">
        <v>231</v>
      </c>
      <c r="X318" s="764">
        <f t="shared" si="115"/>
        <v>0.88316321363261807</v>
      </c>
      <c r="Y318" s="387">
        <f t="shared" si="117"/>
        <v>4.0273501542082375</v>
      </c>
      <c r="Z318" s="640">
        <f t="shared" si="118"/>
        <v>1.5906040713820895E-2</v>
      </c>
      <c r="AA318" s="473">
        <f t="shared" si="120"/>
        <v>-6.6962253771766234</v>
      </c>
      <c r="AB318" s="478">
        <f t="shared" si="121"/>
        <v>0.15799530280335983</v>
      </c>
      <c r="AC318" s="108">
        <v>1</v>
      </c>
      <c r="AD318" s="159">
        <f t="shared" si="116"/>
        <v>0.34285714285714286</v>
      </c>
      <c r="AE318" s="160">
        <v>130</v>
      </c>
      <c r="AF318" s="160">
        <v>14</v>
      </c>
      <c r="AG318" s="160">
        <v>2.1</v>
      </c>
      <c r="AH318" s="303">
        <f t="shared" si="119"/>
        <v>12.546509288663929</v>
      </c>
      <c r="AI318" s="86">
        <f t="shared" si="122"/>
        <v>18258.824217643985</v>
      </c>
      <c r="AJ318" s="86"/>
      <c r="AK318" s="86"/>
      <c r="AL318" s="775"/>
      <c r="AM318" s="775"/>
      <c r="AN318" s="536"/>
      <c r="AP318" s="53"/>
      <c r="AQ318" s="108"/>
      <c r="AR318" s="108"/>
      <c r="AS318" s="724"/>
      <c r="AT318" s="724"/>
      <c r="AU318" s="724"/>
      <c r="AV318" s="634"/>
      <c r="AW318" s="108"/>
      <c r="AX318" s="725"/>
      <c r="AY318" s="53"/>
      <c r="AZ318" s="108"/>
      <c r="BA318" s="771"/>
      <c r="BB318" s="108"/>
      <c r="BC318" s="724"/>
      <c r="BD318" s="724"/>
      <c r="BE318" s="724"/>
      <c r="BF318" s="634"/>
      <c r="BG318" s="108"/>
      <c r="BH318" s="725"/>
      <c r="BI318" s="725"/>
      <c r="BJ318" s="725"/>
      <c r="BK318" s="725"/>
      <c r="BL318" s="634"/>
      <c r="BM318" s="724"/>
      <c r="BN318" s="475"/>
      <c r="BO318" s="475"/>
      <c r="BP318" s="10"/>
      <c r="BY318" s="14">
        <v>9.9860000000000007</v>
      </c>
    </row>
    <row r="319" spans="1:77" ht="15" customHeight="1" x14ac:dyDescent="0.15">
      <c r="A319" s="782" t="str">
        <f>'r-in'!A273</f>
        <v>232_U</v>
      </c>
      <c r="B319" s="258" t="s">
        <v>548</v>
      </c>
      <c r="C319" s="162">
        <f>'r-in'!P273</f>
        <v>1277.5028626162148</v>
      </c>
      <c r="D319" s="162">
        <f>'r-in'!Q273</f>
        <v>15.163860157247335</v>
      </c>
      <c r="E319" s="81">
        <f>'r-in'!R273</f>
        <v>2176330.4404630312</v>
      </c>
      <c r="F319" s="162">
        <f>'r-in'!S273</f>
        <v>1.5810136845453056</v>
      </c>
      <c r="G319" s="81">
        <f>'r-in'!T273</f>
        <v>575.27704749574752</v>
      </c>
      <c r="H319" s="162">
        <f>'r-in'!U273</f>
        <v>91.690322971394778</v>
      </c>
      <c r="I319" s="81">
        <f>'r-in'!V273</f>
        <v>956.36164838327068</v>
      </c>
      <c r="J319" s="162">
        <f>'r-in'!W273</f>
        <v>29.084377009412396</v>
      </c>
      <c r="K319" s="81">
        <f>'r-in'!X273</f>
        <v>9842392.7579498589</v>
      </c>
      <c r="L319" s="162">
        <f>'r-in'!Y273</f>
        <v>1.6020242086675607</v>
      </c>
      <c r="M319" s="81">
        <f>'r-in'!Z273</f>
        <v>821.35050313025567</v>
      </c>
      <c r="N319" s="162">
        <f>'r-in'!AA273</f>
        <v>29.099408590008878</v>
      </c>
      <c r="O319" s="81">
        <f>'r-in'!AB273</f>
        <v>2141573.1027329313</v>
      </c>
      <c r="P319" s="162">
        <f>'r-in'!AC273</f>
        <v>1.6051714826414971</v>
      </c>
      <c r="Q319" s="81">
        <f>'r-in'!AD273</f>
        <v>9766595.9285673331</v>
      </c>
      <c r="R319" s="162">
        <f>'r-in'!AE273</f>
        <v>1.6145152308653965</v>
      </c>
      <c r="S319" s="157">
        <f>'r-in'!AF273</f>
        <v>4.5580941474947299</v>
      </c>
      <c r="T319" s="157">
        <f>'r-in'!AG273</f>
        <v>1.310763286137691E-2</v>
      </c>
      <c r="U319" s="157">
        <f>'r-in'!AH273</f>
        <v>4.560044515038788</v>
      </c>
      <c r="V319" s="157">
        <f>'r-in'!AI273</f>
        <v>1.7921512178658162E-2</v>
      </c>
      <c r="W319" s="158">
        <v>232</v>
      </c>
      <c r="X319" s="764">
        <f t="shared" si="115"/>
        <v>0.88317131927005788</v>
      </c>
      <c r="Y319" s="387">
        <f t="shared" si="117"/>
        <v>4.0273005302769977</v>
      </c>
      <c r="Z319" s="640">
        <f t="shared" si="118"/>
        <v>1.310763286137691E-2</v>
      </c>
      <c r="AA319" s="473">
        <f t="shared" si="120"/>
        <v>-6.7084646005678428</v>
      </c>
      <c r="AB319" s="478">
        <f t="shared" si="121"/>
        <v>0.13019700770322551</v>
      </c>
      <c r="AC319" s="108">
        <v>1</v>
      </c>
      <c r="AD319" s="159">
        <f t="shared" si="116"/>
        <v>0.34285714285714286</v>
      </c>
      <c r="AE319" s="160">
        <v>130</v>
      </c>
      <c r="AF319" s="160">
        <v>14</v>
      </c>
      <c r="AG319" s="160">
        <v>2.1</v>
      </c>
      <c r="AH319" s="303">
        <f t="shared" si="119"/>
        <v>15.746423590911142</v>
      </c>
      <c r="AI319" s="86">
        <f t="shared" si="122"/>
        <v>11890.899063610212</v>
      </c>
      <c r="AJ319" s="86"/>
      <c r="AK319" s="86"/>
      <c r="AL319" s="86"/>
      <c r="AM319" s="86"/>
      <c r="AN319" s="536"/>
      <c r="AP319" s="53"/>
      <c r="AQ319" s="108"/>
      <c r="AR319" s="110"/>
      <c r="AS319" s="724"/>
      <c r="AT319" s="750"/>
      <c r="AU319" s="750"/>
      <c r="AV319" s="751"/>
      <c r="AW319" s="108"/>
      <c r="AX319" s="724"/>
      <c r="AY319" s="53"/>
      <c r="AZ319" s="108"/>
      <c r="BA319" s="771"/>
      <c r="BB319" s="108"/>
      <c r="BC319" s="724"/>
      <c r="BD319" s="724"/>
      <c r="BE319" s="724"/>
      <c r="BF319" s="634"/>
      <c r="BG319" s="108"/>
      <c r="BH319" s="725"/>
      <c r="BI319" s="725"/>
      <c r="BJ319" s="725"/>
      <c r="BK319" s="725"/>
      <c r="BL319" s="725"/>
      <c r="BM319" s="725"/>
      <c r="BN319" s="475"/>
      <c r="BO319" s="475"/>
      <c r="BP319" s="475"/>
      <c r="BY319" s="14">
        <v>9.9860000000000007</v>
      </c>
    </row>
    <row r="320" spans="1:77" ht="15" customHeight="1" x14ac:dyDescent="0.15">
      <c r="A320" s="782" t="str">
        <f>'r-in'!A274</f>
        <v>233_U</v>
      </c>
      <c r="B320" s="258" t="s">
        <v>548</v>
      </c>
      <c r="C320" s="162">
        <f>'r-in'!P274</f>
        <v>1547.3475100864616</v>
      </c>
      <c r="D320" s="162">
        <f>'r-in'!Q274</f>
        <v>13.084753709702596</v>
      </c>
      <c r="E320" s="81">
        <f>'r-in'!R274</f>
        <v>1926833.0820399607</v>
      </c>
      <c r="F320" s="162">
        <f>'r-in'!S274</f>
        <v>0.92471390293474653</v>
      </c>
      <c r="G320" s="81">
        <f>'r-in'!T274</f>
        <v>297.77458287327431</v>
      </c>
      <c r="H320" s="162">
        <f>'r-in'!U274</f>
        <v>170.52559740820507</v>
      </c>
      <c r="I320" s="81">
        <f>'r-in'!V274</f>
        <v>975.8940566855556</v>
      </c>
      <c r="J320" s="162">
        <f>'r-in'!W274</f>
        <v>27.754222463776259</v>
      </c>
      <c r="K320" s="81">
        <f>'r-in'!X274</f>
        <v>8706258.3951674979</v>
      </c>
      <c r="L320" s="162">
        <f>'r-in'!Y274</f>
        <v>0.93631836913203814</v>
      </c>
      <c r="M320" s="81">
        <f>'r-in'!Z274</f>
        <v>591.43562210344658</v>
      </c>
      <c r="N320" s="162">
        <f>'r-in'!AA274</f>
        <v>38.152934262416046</v>
      </c>
      <c r="O320" s="81">
        <f>'r-in'!AB274</f>
        <v>1892157.018082771</v>
      </c>
      <c r="P320" s="162">
        <f>'r-in'!AC274</f>
        <v>0.94139794745765959</v>
      </c>
      <c r="Q320" s="81">
        <f>'r-in'!AD274</f>
        <v>8631216.8763248548</v>
      </c>
      <c r="R320" s="162">
        <f>'r-in'!AE274</f>
        <v>0.94369451071572286</v>
      </c>
      <c r="S320" s="157">
        <f>'r-in'!AF274</f>
        <v>4.5595285913249208</v>
      </c>
      <c r="T320" s="157">
        <f>'r-in'!AG274</f>
        <v>1.0706128832706248E-2</v>
      </c>
      <c r="U320" s="157">
        <f>'r-in'!AH274</f>
        <v>4.5615148800958876</v>
      </c>
      <c r="V320" s="157">
        <f>'r-in'!AI274</f>
        <v>1.7119162752972348E-2</v>
      </c>
      <c r="W320" s="158">
        <v>233</v>
      </c>
      <c r="X320" s="764">
        <f t="shared" ref="X320:X382" si="123">$X$125 * Tb1Prim11B10B/($L$31 + $M$31*Tb1Order + IF($K$31&gt; 1,$N$31*Tb1Order^2) + IF($K$31&gt; 2,$O$31*Tb1Order^3) + IF($K$31&gt; 3,$P$31*Tb1Order^4) + IF($K$31&gt; 4,$Q$31*Tb1Order^5) + IF($K$31&gt; 5,$R$31*Tb1Order^6))</f>
        <v>0.88317942572537134</v>
      </c>
      <c r="Y320" s="387">
        <f t="shared" si="117"/>
        <v>4.0286360922408218</v>
      </c>
      <c r="Z320" s="640">
        <f t="shared" si="118"/>
        <v>1.0706128832706248E-2</v>
      </c>
      <c r="AA320" s="473">
        <f t="shared" si="120"/>
        <v>-6.3790622170867284</v>
      </c>
      <c r="AB320" s="478">
        <f t="shared" si="121"/>
        <v>0.10637833770776872</v>
      </c>
      <c r="AC320" s="108">
        <v>1</v>
      </c>
      <c r="AD320" s="159">
        <f t="shared" ref="AD320:AD382" si="124">($AQ$27*$AR$27^2)/ (35*Tb1SpotSize^2)/$AD$127</f>
        <v>0.34285714285714286</v>
      </c>
      <c r="AE320" s="160">
        <v>130</v>
      </c>
      <c r="AF320" s="160">
        <v>14</v>
      </c>
      <c r="AG320" s="160">
        <v>2.1</v>
      </c>
      <c r="AH320" s="303">
        <f t="shared" si="119"/>
        <v>13.926661575090392</v>
      </c>
      <c r="AI320" s="86">
        <f t="shared" si="122"/>
        <v>14593.67098252866</v>
      </c>
      <c r="AJ320" s="86"/>
      <c r="AK320" s="86"/>
      <c r="AL320" s="775"/>
      <c r="AM320" s="775"/>
      <c r="AN320" s="536"/>
      <c r="AP320" s="53"/>
      <c r="AQ320" s="108"/>
      <c r="AR320" s="108"/>
      <c r="AS320" s="724"/>
      <c r="AT320" s="724"/>
      <c r="AU320" s="724"/>
      <c r="AV320" s="634"/>
      <c r="AW320" s="108"/>
      <c r="AX320" s="725"/>
      <c r="AY320" s="53"/>
      <c r="AZ320" s="108"/>
      <c r="BA320" s="771"/>
      <c r="BB320" s="108"/>
      <c r="BC320" s="724"/>
      <c r="BD320" s="724"/>
      <c r="BE320" s="724"/>
      <c r="BF320" s="634"/>
      <c r="BG320" s="108"/>
      <c r="BH320" s="725"/>
      <c r="BI320" s="725"/>
      <c r="BJ320" s="725"/>
      <c r="BK320" s="725"/>
      <c r="BL320" s="634"/>
      <c r="BM320" s="724"/>
      <c r="BN320" s="475"/>
      <c r="BO320" s="475"/>
      <c r="BP320" s="10"/>
      <c r="BY320" s="14">
        <v>9.9860000000000007</v>
      </c>
    </row>
    <row r="321" spans="1:77" ht="15" customHeight="1" x14ac:dyDescent="0.15">
      <c r="A321" s="782" t="str">
        <f>'r-in'!A275</f>
        <v>234_U</v>
      </c>
      <c r="B321" s="258" t="s">
        <v>548</v>
      </c>
      <c r="C321" s="162">
        <f>'r-in'!P275</f>
        <v>1078.0655296652667</v>
      </c>
      <c r="D321" s="162">
        <f>'r-in'!Q275</f>
        <v>19.415559186756422</v>
      </c>
      <c r="E321" s="81">
        <f>'r-in'!R275</f>
        <v>1803947.6778537934</v>
      </c>
      <c r="F321" s="162">
        <f>'r-in'!S275</f>
        <v>1.003557352233468</v>
      </c>
      <c r="G321" s="81">
        <f>'r-in'!T275</f>
        <v>1155.8536161916202</v>
      </c>
      <c r="H321" s="162">
        <f>'r-in'!U275</f>
        <v>54.788303104323347</v>
      </c>
      <c r="I321" s="81">
        <f>'r-in'!V275</f>
        <v>1113.6395003482517</v>
      </c>
      <c r="J321" s="162">
        <f>'r-in'!W275</f>
        <v>27.222483050899296</v>
      </c>
      <c r="K321" s="81">
        <f>'r-in'!X275</f>
        <v>8149648.7528906176</v>
      </c>
      <c r="L321" s="162">
        <f>'r-in'!Y275</f>
        <v>1.0221551009822096</v>
      </c>
      <c r="M321" s="81">
        <f>'r-in'!Z275</f>
        <v>796.65375808228089</v>
      </c>
      <c r="N321" s="162">
        <f>'r-in'!AA275</f>
        <v>36.678755879150202</v>
      </c>
      <c r="O321" s="81">
        <f>'r-in'!AB275</f>
        <v>1769078.1922075397</v>
      </c>
      <c r="P321" s="162">
        <f>'r-in'!AC275</f>
        <v>1.0289986895394774</v>
      </c>
      <c r="Q321" s="81">
        <f>'r-in'!AD275</f>
        <v>8074250.969729987</v>
      </c>
      <c r="R321" s="162">
        <f>'r-in'!AE275</f>
        <v>1.0315766953997976</v>
      </c>
      <c r="S321" s="157">
        <f>'r-in'!AF275</f>
        <v>4.5606271661606783</v>
      </c>
      <c r="T321" s="157">
        <f>'r-in'!AG275</f>
        <v>1.3702214402757118E-2</v>
      </c>
      <c r="U321" s="157">
        <f>'r-in'!AH275</f>
        <v>4.5640414139633503</v>
      </c>
      <c r="V321" s="157">
        <f>'r-in'!AI275</f>
        <v>1.5966858648105729E-2</v>
      </c>
      <c r="W321" s="158">
        <v>234</v>
      </c>
      <c r="X321" s="764">
        <f t="shared" si="123"/>
        <v>0.88318753996947152</v>
      </c>
      <c r="Y321" s="387">
        <f t="shared" si="117"/>
        <v>4.0309045087170796</v>
      </c>
      <c r="Z321" s="640">
        <f t="shared" si="118"/>
        <v>1.3702214402757118E-2</v>
      </c>
      <c r="AA321" s="473">
        <f t="shared" si="120"/>
        <v>-5.8195810292070993</v>
      </c>
      <c r="AB321" s="478">
        <f t="shared" si="121"/>
        <v>0.13622473255781031</v>
      </c>
      <c r="AC321" s="108">
        <v>1</v>
      </c>
      <c r="AD321" s="159">
        <f t="shared" si="124"/>
        <v>0.34285714285714286</v>
      </c>
      <c r="AE321" s="160">
        <v>130</v>
      </c>
      <c r="AF321" s="160">
        <v>14</v>
      </c>
      <c r="AG321" s="160">
        <v>2.1</v>
      </c>
      <c r="AH321" s="303">
        <f t="shared" si="119"/>
        <v>13.038215350561266</v>
      </c>
      <c r="AI321" s="86">
        <f t="shared" si="122"/>
        <v>10135.207281475039</v>
      </c>
      <c r="AJ321" s="86"/>
      <c r="AK321" s="86"/>
      <c r="AL321" s="86"/>
      <c r="AM321" s="86"/>
      <c r="AN321" s="536"/>
      <c r="AP321" s="53"/>
      <c r="AQ321" s="108"/>
      <c r="AR321" s="110"/>
      <c r="AS321" s="724"/>
      <c r="AT321" s="750"/>
      <c r="AU321" s="750"/>
      <c r="AV321" s="751"/>
      <c r="AW321" s="108"/>
      <c r="AX321" s="724"/>
      <c r="AY321" s="53"/>
      <c r="AZ321" s="108"/>
      <c r="BA321" s="771"/>
      <c r="BB321" s="108"/>
      <c r="BC321" s="724"/>
      <c r="BD321" s="724"/>
      <c r="BE321" s="724"/>
      <c r="BF321" s="634"/>
      <c r="BG321" s="108"/>
      <c r="BH321" s="725"/>
      <c r="BI321" s="725"/>
      <c r="BJ321" s="725"/>
      <c r="BK321" s="725"/>
      <c r="BL321" s="725"/>
      <c r="BM321" s="725"/>
      <c r="BN321" s="475"/>
      <c r="BO321" s="475"/>
      <c r="BP321" s="475"/>
      <c r="BY321" s="14">
        <v>9.9860000000000007</v>
      </c>
    </row>
    <row r="322" spans="1:77" ht="15" customHeight="1" x14ac:dyDescent="0.15">
      <c r="A322" s="782" t="str">
        <f>'r-in'!A276</f>
        <v>235_U</v>
      </c>
      <c r="B322" s="258" t="s">
        <v>548</v>
      </c>
      <c r="C322" s="162">
        <f>'r-in'!P276</f>
        <v>1548.9007809197326</v>
      </c>
      <c r="D322" s="162">
        <f>'r-in'!Q276</f>
        <v>12.224088656383913</v>
      </c>
      <c r="E322" s="81">
        <f>'r-in'!R276</f>
        <v>1577866.2749777425</v>
      </c>
      <c r="F322" s="162">
        <f>'r-in'!S276</f>
        <v>0.81960126855930648</v>
      </c>
      <c r="G322" s="81">
        <f>'r-in'!T276</f>
        <v>1349.3568807639679</v>
      </c>
      <c r="H322" s="162">
        <f>'r-in'!U276</f>
        <v>46.835201094660697</v>
      </c>
      <c r="I322" s="81">
        <f>'r-in'!V276</f>
        <v>1457.6455621439795</v>
      </c>
      <c r="J322" s="162">
        <f>'r-in'!W276</f>
        <v>19.745708474797986</v>
      </c>
      <c r="K322" s="81">
        <f>'r-in'!X276</f>
        <v>7108690.2033356111</v>
      </c>
      <c r="L322" s="162">
        <f>'r-in'!Y276</f>
        <v>0.82863143134340445</v>
      </c>
      <c r="M322" s="81">
        <f>'r-in'!Z276</f>
        <v>555.40546223232639</v>
      </c>
      <c r="N322" s="162">
        <f>'r-in'!AA276</f>
        <v>33.400320268892479</v>
      </c>
      <c r="O322" s="81">
        <f>'r-in'!AB276</f>
        <v>1542517.1222576126</v>
      </c>
      <c r="P322" s="162">
        <f>'r-in'!AC276</f>
        <v>0.83838918664416717</v>
      </c>
      <c r="Q322" s="81">
        <f>'r-in'!AD276</f>
        <v>7033282.4243088206</v>
      </c>
      <c r="R322" s="162">
        <f>'r-in'!AE276</f>
        <v>0.83768619645903286</v>
      </c>
      <c r="S322" s="157">
        <f>'r-in'!AF276</f>
        <v>4.5558632664610155</v>
      </c>
      <c r="T322" s="157">
        <f>'r-in'!AG276</f>
        <v>1.3555934557528888E-2</v>
      </c>
      <c r="U322" s="157">
        <f>'r-in'!AH276</f>
        <v>4.5596478050218368</v>
      </c>
      <c r="V322" s="157">
        <f>'r-in'!AI276</f>
        <v>2.2478481836376303E-2</v>
      </c>
      <c r="W322" s="158">
        <v>235</v>
      </c>
      <c r="X322" s="764">
        <f t="shared" si="123"/>
        <v>0.8831956690917423</v>
      </c>
      <c r="Y322" s="387">
        <f t="shared" ref="Y322:Y382" si="125">U322*X322</f>
        <v>4.0270611939789553</v>
      </c>
      <c r="Z322" s="640">
        <f t="shared" ref="Z322:Z382" si="126">T322</f>
        <v>1.3555934557528888E-2</v>
      </c>
      <c r="AA322" s="473">
        <f t="shared" si="120"/>
        <v>-6.7674943941410381</v>
      </c>
      <c r="AB322" s="478">
        <f t="shared" si="121"/>
        <v>0.13464194846390942</v>
      </c>
      <c r="AC322" s="108">
        <v>1</v>
      </c>
      <c r="AD322" s="159">
        <f t="shared" si="124"/>
        <v>0.34285714285714286</v>
      </c>
      <c r="AE322" s="160">
        <v>130</v>
      </c>
      <c r="AF322" s="160">
        <v>14</v>
      </c>
      <c r="AG322" s="160">
        <v>2.1</v>
      </c>
      <c r="AH322" s="303">
        <f t="shared" ref="AH322:AH382" si="127">Q322*AD322*$AH$18 /($L$33 + $M$33*Tb1Order + IF($K$33&gt; 1,$N$33*Tb1Order^2) + IF($K$33&gt; 2,$O$33*Tb1Order^3) + IF($K$33&gt; 3,$P$33*Tb1Order^4) + IF($K$33&gt; 4,$Q$33*Tb1Order^5) + IF($K$33&gt; 5,$R$33*Tb1Order^6))</f>
        <v>11.366312626922548</v>
      </c>
      <c r="AI322" s="86">
        <f t="shared" si="122"/>
        <v>12663.329589954221</v>
      </c>
      <c r="AJ322" s="86"/>
      <c r="AK322" s="86"/>
      <c r="AL322" s="775"/>
      <c r="AM322" s="775"/>
      <c r="AN322" s="536"/>
      <c r="AP322" s="53"/>
      <c r="AQ322" s="108"/>
      <c r="AR322" s="108"/>
      <c r="AS322" s="724"/>
      <c r="AT322" s="724"/>
      <c r="AU322" s="724"/>
      <c r="AV322" s="634"/>
      <c r="AW322" s="108"/>
      <c r="AX322" s="725"/>
      <c r="AY322" s="53"/>
      <c r="AZ322" s="108"/>
      <c r="BA322" s="771"/>
      <c r="BB322" s="108"/>
      <c r="BC322" s="724"/>
      <c r="BD322" s="724"/>
      <c r="BE322" s="724"/>
      <c r="BF322" s="634"/>
      <c r="BG322" s="108"/>
      <c r="BH322" s="725"/>
      <c r="BI322" s="725"/>
      <c r="BJ322" s="725"/>
      <c r="BK322" s="725"/>
      <c r="BL322" s="634"/>
      <c r="BM322" s="724"/>
      <c r="BN322" s="475"/>
      <c r="BO322" s="475"/>
      <c r="BP322" s="10"/>
      <c r="BY322" s="14">
        <v>9.9860000000000007</v>
      </c>
    </row>
    <row r="323" spans="1:77" ht="15" customHeight="1" x14ac:dyDescent="0.15">
      <c r="A323" s="782" t="str">
        <f>'r-in'!A277</f>
        <v>236_U</v>
      </c>
      <c r="B323" s="258" t="s">
        <v>548</v>
      </c>
      <c r="C323" s="162">
        <f>'r-in'!P277</f>
        <v>1624.5830364182543</v>
      </c>
      <c r="D323" s="162">
        <f>'r-in'!Q277</f>
        <v>12.127653104883116</v>
      </c>
      <c r="E323" s="81">
        <f>'r-in'!R277</f>
        <v>1829332.9329716519</v>
      </c>
      <c r="F323" s="162">
        <f>'r-in'!S277</f>
        <v>0.75017141363757378</v>
      </c>
      <c r="G323" s="81">
        <f>'r-in'!T277</f>
        <v>-135.25100180403462</v>
      </c>
      <c r="H323" s="162">
        <f>'r-in'!U277</f>
        <v>-391.90986150224057</v>
      </c>
      <c r="I323" s="81">
        <f>'r-in'!V277</f>
        <v>819.7774771321458</v>
      </c>
      <c r="J323" s="162">
        <f>'r-in'!W277</f>
        <v>31.18843049575905</v>
      </c>
      <c r="K323" s="81">
        <f>'r-in'!X277</f>
        <v>8264322.9926910559</v>
      </c>
      <c r="L323" s="162">
        <f>'r-in'!Y277</f>
        <v>0.75764438607468287</v>
      </c>
      <c r="M323" s="81">
        <f>'r-in'!Z277</f>
        <v>1639.8951284402319</v>
      </c>
      <c r="N323" s="162">
        <f>'r-in'!AA277</f>
        <v>12.414240366261849</v>
      </c>
      <c r="O323" s="81">
        <f>'r-in'!AB277</f>
        <v>1794632.1241161972</v>
      </c>
      <c r="P323" s="162">
        <f>'r-in'!AC277</f>
        <v>0.76464538591187892</v>
      </c>
      <c r="Q323" s="81">
        <f>'r-in'!AD277</f>
        <v>8188341.6615974102</v>
      </c>
      <c r="R323" s="162">
        <f>'r-in'!AE277</f>
        <v>0.76430483319749198</v>
      </c>
      <c r="S323" s="157">
        <f>'r-in'!AF277</f>
        <v>4.5608680974328637</v>
      </c>
      <c r="T323" s="157">
        <f>'r-in'!AG277</f>
        <v>1.2568295028250909E-2</v>
      </c>
      <c r="U323" s="157">
        <f>'r-in'!AH277</f>
        <v>4.5627043186176977</v>
      </c>
      <c r="V323" s="157">
        <f>'r-in'!AI277</f>
        <v>1.8391210484138679E-2</v>
      </c>
      <c r="W323" s="158">
        <v>236</v>
      </c>
      <c r="X323" s="764">
        <f t="shared" si="123"/>
        <v>0.88320382030004885</v>
      </c>
      <c r="Y323" s="387">
        <f t="shared" si="125"/>
        <v>4.0297978851026821</v>
      </c>
      <c r="Z323" s="640">
        <f t="shared" si="126"/>
        <v>1.2568295028250909E-2</v>
      </c>
      <c r="AA323" s="473">
        <f t="shared" ref="AA323:AA382" si="128">((Y323/AZ$29)-1)*1000</f>
        <v>-6.0925181643403103</v>
      </c>
      <c r="AB323" s="478">
        <f t="shared" ref="AB323:AB382" si="129">AA323-(((Y323-(Y323/100*Z323))/AZ$29)-1)*1000</f>
        <v>0.12491722462504296</v>
      </c>
      <c r="AC323" s="108">
        <v>1</v>
      </c>
      <c r="AD323" s="159">
        <f t="shared" si="124"/>
        <v>0.34285714285714286</v>
      </c>
      <c r="AE323" s="160">
        <v>130</v>
      </c>
      <c r="AF323" s="160">
        <v>14</v>
      </c>
      <c r="AG323" s="160">
        <v>2.1</v>
      </c>
      <c r="AH323" s="303">
        <f t="shared" si="127"/>
        <v>13.243657590195973</v>
      </c>
      <c r="AI323" s="86">
        <f t="shared" ref="AI323:AI382" si="130">Q323/M323</f>
        <v>4993.2105532782825</v>
      </c>
      <c r="AJ323" s="86"/>
      <c r="AK323" s="86"/>
      <c r="AL323" s="86"/>
      <c r="AM323" s="86"/>
      <c r="AN323" s="536"/>
      <c r="AP323" s="53"/>
      <c r="AQ323" s="108"/>
      <c r="AR323" s="110"/>
      <c r="AS323" s="724"/>
      <c r="AT323" s="750"/>
      <c r="AU323" s="750"/>
      <c r="AV323" s="751"/>
      <c r="AW323" s="108"/>
      <c r="AX323" s="724"/>
      <c r="AY323" s="53"/>
      <c r="AZ323" s="108"/>
      <c r="BA323" s="771"/>
      <c r="BB323" s="108"/>
      <c r="BC323" s="724"/>
      <c r="BD323" s="724"/>
      <c r="BE323" s="724"/>
      <c r="BF323" s="634"/>
      <c r="BG323" s="108"/>
      <c r="BH323" s="725"/>
      <c r="BI323" s="725"/>
      <c r="BJ323" s="725"/>
      <c r="BK323" s="725"/>
      <c r="BL323" s="725"/>
      <c r="BM323" s="725"/>
      <c r="BN323" s="475"/>
      <c r="BO323" s="475"/>
      <c r="BP323" s="475"/>
      <c r="BY323" s="14">
        <v>9.9860000000000007</v>
      </c>
    </row>
    <row r="324" spans="1:77" s="437" customFormat="1" ht="15" customHeight="1" x14ac:dyDescent="0.2">
      <c r="A324" s="783" t="str">
        <f>'r-in'!A278</f>
        <v>237_U</v>
      </c>
      <c r="B324" s="707" t="s">
        <v>926</v>
      </c>
      <c r="C324" s="567">
        <f>'r-in'!P278</f>
        <v>672.44552173512147</v>
      </c>
      <c r="D324" s="567">
        <f>'r-in'!Q278</f>
        <v>24.656928648097622</v>
      </c>
      <c r="E324" s="568">
        <f>'r-in'!R278</f>
        <v>1994697.6169156637</v>
      </c>
      <c r="F324" s="567">
        <f>'r-in'!S278</f>
        <v>0.86122919930274755</v>
      </c>
      <c r="G324" s="568">
        <f>'r-in'!T278</f>
        <v>395.20671455575314</v>
      </c>
      <c r="H324" s="567">
        <f>'r-in'!U278</f>
        <v>39.972162814768325</v>
      </c>
      <c r="I324" s="568">
        <f>'r-in'!V278</f>
        <v>545.65894503428967</v>
      </c>
      <c r="J324" s="567">
        <f>'r-in'!W278</f>
        <v>21.343755066335167</v>
      </c>
      <c r="K324" s="568">
        <f>'r-in'!X278</f>
        <v>9040911.2821442429</v>
      </c>
      <c r="L324" s="567">
        <f>'r-in'!Y278</f>
        <v>0.86744626146916692</v>
      </c>
      <c r="M324" s="568">
        <f>'r-in'!Z278</f>
        <v>738.46179065119429</v>
      </c>
      <c r="N324" s="567">
        <f>'r-in'!AA278</f>
        <v>22.105087237264218</v>
      </c>
      <c r="O324" s="568">
        <f>'r-in'!AB278</f>
        <v>1960188.7222209086</v>
      </c>
      <c r="P324" s="567">
        <f>'r-in'!AC278</f>
        <v>0.8763606950088465</v>
      </c>
      <c r="Q324" s="568">
        <f>'r-in'!AD278</f>
        <v>8965195.6177145764</v>
      </c>
      <c r="R324" s="567">
        <f>'r-in'!AE278</f>
        <v>0.87480575619172296</v>
      </c>
      <c r="S324" s="588">
        <f>'r-in'!AF278</f>
        <v>4.5728025434102317</v>
      </c>
      <c r="T324" s="588">
        <f>'r-in'!AG278</f>
        <v>1.4201027552618199E-2</v>
      </c>
      <c r="U324" s="588">
        <f>'r-in'!AH278</f>
        <v>4.5737096128917782</v>
      </c>
      <c r="V324" s="588">
        <f>'r-in'!AI278</f>
        <v>1.4865591175233268E-2</v>
      </c>
      <c r="W324" s="569">
        <v>237</v>
      </c>
      <c r="X324" s="776">
        <f t="shared" si="123"/>
        <v>0.88321200092075247</v>
      </c>
      <c r="Y324" s="610">
        <f t="shared" si="125"/>
        <v>4.0395552188326276</v>
      </c>
      <c r="Z324" s="639">
        <f t="shared" si="126"/>
        <v>1.4201027552618199E-2</v>
      </c>
      <c r="AA324" s="666">
        <f t="shared" si="128"/>
        <v>-3.6859738974898137</v>
      </c>
      <c r="AB324" s="667">
        <f t="shared" si="129"/>
        <v>0.14148682935755108</v>
      </c>
      <c r="AC324" s="570">
        <v>1</v>
      </c>
      <c r="AD324" s="787">
        <f t="shared" si="124"/>
        <v>0.71534391534391539</v>
      </c>
      <c r="AE324" s="571">
        <v>90</v>
      </c>
      <c r="AF324" s="571">
        <v>14</v>
      </c>
      <c r="AG324" s="571">
        <v>2.1</v>
      </c>
      <c r="AH324" s="572">
        <f t="shared" si="127"/>
        <v>30.278112548709572</v>
      </c>
      <c r="AI324" s="742">
        <f t="shared" si="130"/>
        <v>12140.36491963767</v>
      </c>
      <c r="AJ324" s="742"/>
      <c r="AK324" s="742"/>
      <c r="AL324" s="788">
        <f>AGaverage(AA324:AA338)</f>
        <v>-3.6940118030403934</v>
      </c>
      <c r="AM324" s="788">
        <f>STDEV(AA324:AA338)/(COUNT(AA324:AA338)-1)^0.5</f>
        <v>5.9185459094165414E-2</v>
      </c>
      <c r="AN324" s="573"/>
      <c r="AP324" s="240"/>
      <c r="AQ324" s="570"/>
      <c r="AR324" s="570"/>
      <c r="AS324" s="723"/>
      <c r="AT324" s="723"/>
      <c r="AU324" s="723"/>
      <c r="AV324" s="624"/>
      <c r="AW324" s="570"/>
      <c r="AX324" s="769"/>
      <c r="AY324" s="240"/>
      <c r="AZ324" s="570"/>
      <c r="BA324" s="770"/>
      <c r="BB324" s="570"/>
      <c r="BC324" s="723"/>
      <c r="BD324" s="723"/>
      <c r="BE324" s="723"/>
      <c r="BF324" s="624"/>
      <c r="BG324" s="570"/>
      <c r="BH324" s="769"/>
      <c r="BI324" s="769"/>
      <c r="BJ324" s="769"/>
      <c r="BK324" s="769"/>
      <c r="BL324" s="624"/>
      <c r="BM324" s="723"/>
      <c r="BN324" s="574"/>
      <c r="BO324" s="574"/>
      <c r="BP324" s="576"/>
      <c r="BY324" s="437">
        <v>9.9860000000000007</v>
      </c>
    </row>
    <row r="325" spans="1:77" ht="15" customHeight="1" x14ac:dyDescent="0.2">
      <c r="A325" s="782"/>
      <c r="B325" s="707"/>
      <c r="C325" s="162"/>
      <c r="D325" s="162"/>
      <c r="E325" s="81"/>
      <c r="F325" s="162"/>
      <c r="G325" s="81"/>
      <c r="H325" s="162"/>
      <c r="I325" s="81"/>
      <c r="J325" s="162"/>
      <c r="K325" s="81"/>
      <c r="L325" s="162"/>
      <c r="M325" s="81"/>
      <c r="N325" s="162"/>
      <c r="O325" s="81"/>
      <c r="P325" s="162"/>
      <c r="Q325" s="81"/>
      <c r="R325" s="162"/>
      <c r="S325" s="157"/>
      <c r="T325" s="157"/>
      <c r="U325" s="157"/>
      <c r="V325" s="157"/>
      <c r="W325" s="158"/>
      <c r="X325" s="764"/>
      <c r="Y325" s="387"/>
      <c r="Z325" s="640"/>
      <c r="AA325" s="473"/>
      <c r="AB325" s="478"/>
      <c r="AC325" s="108"/>
      <c r="AD325" s="159"/>
      <c r="AE325" s="160"/>
      <c r="AF325" s="160"/>
      <c r="AG325" s="160"/>
      <c r="AH325" s="303"/>
      <c r="AI325" s="86"/>
      <c r="AJ325" s="86"/>
      <c r="AK325" s="86"/>
      <c r="AL325" s="86"/>
      <c r="AM325" s="86"/>
      <c r="AN325" s="536"/>
      <c r="AP325" s="53"/>
      <c r="AQ325" s="108"/>
      <c r="AR325" s="110"/>
      <c r="AS325" s="724"/>
      <c r="AT325" s="750"/>
      <c r="AU325" s="750"/>
      <c r="AV325" s="751"/>
      <c r="AW325" s="108"/>
      <c r="AX325" s="724"/>
      <c r="AY325" s="53"/>
      <c r="AZ325" s="108"/>
      <c r="BA325" s="771"/>
      <c r="BB325" s="108"/>
      <c r="BC325" s="724"/>
      <c r="BD325" s="724"/>
      <c r="BE325" s="724"/>
      <c r="BF325" s="634"/>
      <c r="BG325" s="108"/>
      <c r="BH325" s="725"/>
      <c r="BI325" s="725"/>
      <c r="BJ325" s="725"/>
      <c r="BK325" s="725"/>
      <c r="BL325" s="725"/>
      <c r="BM325" s="725"/>
      <c r="BN325" s="475"/>
      <c r="BO325" s="475"/>
      <c r="BP325" s="475"/>
    </row>
    <row r="326" spans="1:77" ht="15" customHeight="1" x14ac:dyDescent="0.2">
      <c r="A326" s="782" t="str">
        <f>'r-in'!A280</f>
        <v>239_U</v>
      </c>
      <c r="B326" s="707" t="s">
        <v>926</v>
      </c>
      <c r="C326" s="162">
        <f>'r-in'!P280</f>
        <v>594.23408634741236</v>
      </c>
      <c r="D326" s="162">
        <f>'r-in'!Q280</f>
        <v>29.281247418870937</v>
      </c>
      <c r="E326" s="81">
        <f>'r-in'!R280</f>
        <v>1776943.6451963927</v>
      </c>
      <c r="F326" s="162">
        <f>'r-in'!S280</f>
        <v>0.84090392326973762</v>
      </c>
      <c r="G326" s="81">
        <f>'r-in'!T280</f>
        <v>643.19326424370172</v>
      </c>
      <c r="H326" s="162">
        <f>'r-in'!U280</f>
        <v>25.493041270993974</v>
      </c>
      <c r="I326" s="81">
        <f>'r-in'!V280</f>
        <v>616.62404909004363</v>
      </c>
      <c r="J326" s="162">
        <f>'r-in'!W280</f>
        <v>19.982974426070562</v>
      </c>
      <c r="K326" s="81">
        <f>'r-in'!X280</f>
        <v>8041357.4881433779</v>
      </c>
      <c r="L326" s="162">
        <f>'r-in'!Y280</f>
        <v>0.84654052425969706</v>
      </c>
      <c r="M326" s="81">
        <f>'r-in'!Z280</f>
        <v>1086.0100843525831</v>
      </c>
      <c r="N326" s="162">
        <f>'r-in'!AA280</f>
        <v>20.130324605426924</v>
      </c>
      <c r="O326" s="81">
        <f>'r-in'!AB280</f>
        <v>1742265.0151356694</v>
      </c>
      <c r="P326" s="162">
        <f>'r-in'!AC280</f>
        <v>0.85760712696336272</v>
      </c>
      <c r="Q326" s="81">
        <f>'r-in'!AD280</f>
        <v>7965124.7717432892</v>
      </c>
      <c r="R326" s="162">
        <f>'r-in'!AE280</f>
        <v>0.85471016490309248</v>
      </c>
      <c r="S326" s="157">
        <f>'r-in'!AF280</f>
        <v>4.5705148232958388</v>
      </c>
      <c r="T326" s="157">
        <f>'r-in'!AG280</f>
        <v>1.1211642879614641E-2</v>
      </c>
      <c r="U326" s="157">
        <f>'r-in'!AH280</f>
        <v>4.5718095612891689</v>
      </c>
      <c r="V326" s="157">
        <f>'r-in'!AI280</f>
        <v>1.3524962207532567E-2</v>
      </c>
      <c r="W326" s="158">
        <v>239</v>
      </c>
      <c r="X326" s="764">
        <f t="shared" si="123"/>
        <v>0.88322848029736933</v>
      </c>
      <c r="Y326" s="387">
        <f t="shared" si="125"/>
        <v>4.0379524110264153</v>
      </c>
      <c r="Z326" s="640">
        <f t="shared" si="126"/>
        <v>1.1211642879614641E-2</v>
      </c>
      <c r="AA326" s="473">
        <f t="shared" si="128"/>
        <v>-4.0812896716203584</v>
      </c>
      <c r="AB326" s="478">
        <f t="shared" si="129"/>
        <v>0.11165884917330171</v>
      </c>
      <c r="AC326" s="108">
        <v>1</v>
      </c>
      <c r="AD326" s="159">
        <f t="shared" si="124"/>
        <v>0.71534391534391539</v>
      </c>
      <c r="AE326" s="160">
        <v>90</v>
      </c>
      <c r="AF326" s="160">
        <v>14</v>
      </c>
      <c r="AG326" s="160">
        <v>2.1</v>
      </c>
      <c r="AH326" s="303">
        <f t="shared" si="127"/>
        <v>26.945572457633403</v>
      </c>
      <c r="AI326" s="86">
        <f t="shared" si="130"/>
        <v>7334.3009300798894</v>
      </c>
      <c r="AJ326" s="86"/>
      <c r="AK326" s="86"/>
      <c r="AL326" s="775"/>
      <c r="AM326" s="775"/>
      <c r="AN326" s="536"/>
      <c r="AP326" s="53"/>
      <c r="AQ326" s="108"/>
      <c r="AR326" s="108"/>
      <c r="AS326" s="724"/>
      <c r="AT326" s="724"/>
      <c r="AU326" s="724"/>
      <c r="AV326" s="634"/>
      <c r="AW326" s="108"/>
      <c r="AX326" s="725"/>
      <c r="AY326" s="53"/>
      <c r="AZ326" s="108"/>
      <c r="BA326" s="771"/>
      <c r="BB326" s="108"/>
      <c r="BC326" s="724"/>
      <c r="BD326" s="724"/>
      <c r="BE326" s="724"/>
      <c r="BF326" s="634"/>
      <c r="BG326" s="108"/>
      <c r="BH326" s="725"/>
      <c r="BI326" s="725"/>
      <c r="BJ326" s="725"/>
      <c r="BK326" s="725"/>
      <c r="BL326" s="634"/>
      <c r="BM326" s="724"/>
      <c r="BN326" s="475"/>
      <c r="BO326" s="475"/>
      <c r="BP326" s="10"/>
      <c r="BY326" s="14">
        <v>9.9860000000000007</v>
      </c>
    </row>
    <row r="327" spans="1:77" ht="15" customHeight="1" x14ac:dyDescent="0.2">
      <c r="A327" s="782" t="str">
        <f>'r-in'!A281</f>
        <v>240_U</v>
      </c>
      <c r="B327" s="707" t="s">
        <v>926</v>
      </c>
      <c r="C327" s="162">
        <f>'r-in'!P281</f>
        <v>656.37088566105081</v>
      </c>
      <c r="D327" s="162">
        <f>'r-in'!Q281</f>
        <v>22.692746355845411</v>
      </c>
      <c r="E327" s="81">
        <f>'r-in'!R281</f>
        <v>1728525.6400239461</v>
      </c>
      <c r="F327" s="162">
        <f>'r-in'!S281</f>
        <v>1.1860261800658496</v>
      </c>
      <c r="G327" s="81">
        <f>'r-in'!T281</f>
        <v>681.20786786066435</v>
      </c>
      <c r="H327" s="162">
        <f>'r-in'!U281</f>
        <v>24.813132490565184</v>
      </c>
      <c r="I327" s="81">
        <f>'r-in'!V281</f>
        <v>667.72930976013845</v>
      </c>
      <c r="J327" s="162">
        <f>'r-in'!W281</f>
        <v>15.173621832728097</v>
      </c>
      <c r="K327" s="81">
        <f>'r-in'!X281</f>
        <v>7820495.0412569288</v>
      </c>
      <c r="L327" s="162">
        <f>'r-in'!Y281</f>
        <v>1.2039848754743858</v>
      </c>
      <c r="M327" s="81">
        <f>'r-in'!Z281</f>
        <v>468.96768896006608</v>
      </c>
      <c r="N327" s="162">
        <f>'r-in'!AA281</f>
        <v>49.877140569425393</v>
      </c>
      <c r="O327" s="81">
        <f>'r-in'!AB281</f>
        <v>1693810.2832889534</v>
      </c>
      <c r="P327" s="162">
        <f>'r-in'!AC281</f>
        <v>1.2103823839149692</v>
      </c>
      <c r="Q327" s="81">
        <f>'r-in'!AD281</f>
        <v>7744870.9075173698</v>
      </c>
      <c r="R327" s="162">
        <f>'r-in'!AE281</f>
        <v>1.2160812813978052</v>
      </c>
      <c r="S327" s="157">
        <f>'r-in'!AF281</f>
        <v>4.5703238865657054</v>
      </c>
      <c r="T327" s="157">
        <f>'r-in'!AG281</f>
        <v>1.7608566624759646E-2</v>
      </c>
      <c r="U327" s="157">
        <f>'r-in'!AH281</f>
        <v>4.5721606718512229</v>
      </c>
      <c r="V327" s="157">
        <f>'r-in'!AI281</f>
        <v>1.8225403758013726E-2</v>
      </c>
      <c r="W327" s="158">
        <v>240</v>
      </c>
      <c r="X327" s="764">
        <f t="shared" si="123"/>
        <v>0.883236794298629</v>
      </c>
      <c r="Y327" s="387">
        <f t="shared" si="125"/>
        <v>4.0383005348241401</v>
      </c>
      <c r="Z327" s="640">
        <f t="shared" si="126"/>
        <v>1.7608566624759646E-2</v>
      </c>
      <c r="AA327" s="473">
        <f t="shared" si="128"/>
        <v>-3.9954285795683608</v>
      </c>
      <c r="AB327" s="478">
        <f t="shared" si="129"/>
        <v>0.17538212854428803</v>
      </c>
      <c r="AC327" s="108">
        <v>1</v>
      </c>
      <c r="AD327" s="159">
        <f t="shared" si="124"/>
        <v>0.71534391534391539</v>
      </c>
      <c r="AE327" s="160">
        <v>90</v>
      </c>
      <c r="AF327" s="160">
        <v>14</v>
      </c>
      <c r="AG327" s="160">
        <v>2.1</v>
      </c>
      <c r="AH327" s="303">
        <f t="shared" si="127"/>
        <v>26.222835457228339</v>
      </c>
      <c r="AI327" s="86">
        <f t="shared" si="130"/>
        <v>16514.721781135049</v>
      </c>
      <c r="AJ327" s="86"/>
      <c r="AK327" s="86"/>
      <c r="AL327" s="86"/>
      <c r="AM327" s="86"/>
      <c r="AN327" s="536"/>
      <c r="AP327" s="53"/>
      <c r="AQ327" s="108"/>
      <c r="AR327" s="110"/>
      <c r="AS327" s="724"/>
      <c r="AT327" s="750"/>
      <c r="AU327" s="750"/>
      <c r="AV327" s="751"/>
      <c r="AW327" s="108"/>
      <c r="AX327" s="724"/>
      <c r="AY327" s="53"/>
      <c r="AZ327" s="108"/>
      <c r="BA327" s="771"/>
      <c r="BB327" s="108"/>
      <c r="BC327" s="724"/>
      <c r="BD327" s="724"/>
      <c r="BE327" s="724"/>
      <c r="BF327" s="634"/>
      <c r="BG327" s="108"/>
      <c r="BH327" s="725"/>
      <c r="BI327" s="725"/>
      <c r="BJ327" s="725"/>
      <c r="BK327" s="725"/>
      <c r="BL327" s="725"/>
      <c r="BM327" s="725"/>
      <c r="BN327" s="475"/>
      <c r="BO327" s="475"/>
      <c r="BP327" s="475"/>
      <c r="BY327" s="14">
        <v>9.9860000000000007</v>
      </c>
    </row>
    <row r="328" spans="1:77" ht="15" customHeight="1" x14ac:dyDescent="0.2">
      <c r="A328" s="782" t="str">
        <f>'r-in'!A282</f>
        <v>241_U</v>
      </c>
      <c r="B328" s="707" t="s">
        <v>926</v>
      </c>
      <c r="C328" s="162">
        <f>'r-in'!P282</f>
        <v>785.58152975210044</v>
      </c>
      <c r="D328" s="162">
        <f>'r-in'!Q282</f>
        <v>24.967097944544371</v>
      </c>
      <c r="E328" s="81">
        <f>'r-in'!R282</f>
        <v>1659101.8610839969</v>
      </c>
      <c r="F328" s="162">
        <f>'r-in'!S282</f>
        <v>1.1550664189547744</v>
      </c>
      <c r="G328" s="81">
        <f>'r-in'!T282</f>
        <v>849.48162384981879</v>
      </c>
      <c r="H328" s="162">
        <f>'r-in'!U282</f>
        <v>21.33699720822468</v>
      </c>
      <c r="I328" s="81">
        <f>'r-in'!V282</f>
        <v>814.80425749334722</v>
      </c>
      <c r="J328" s="162">
        <f>'r-in'!W282</f>
        <v>18.136983755215965</v>
      </c>
      <c r="K328" s="81">
        <f>'r-in'!X282</f>
        <v>7504493.2072043465</v>
      </c>
      <c r="L328" s="162">
        <f>'r-in'!Y282</f>
        <v>1.1669599296266895</v>
      </c>
      <c r="M328" s="81">
        <f>'r-in'!Z282</f>
        <v>68.937391002094415</v>
      </c>
      <c r="N328" s="162">
        <f>'r-in'!AA282</f>
        <v>332.99353915876287</v>
      </c>
      <c r="O328" s="81">
        <f>'r-in'!AB282</f>
        <v>1624550.1794048001</v>
      </c>
      <c r="P328" s="162">
        <f>'r-in'!AC282</f>
        <v>1.1808272985839277</v>
      </c>
      <c r="Q328" s="81">
        <f>'r-in'!AD282</f>
        <v>7429969.4399233265</v>
      </c>
      <c r="R328" s="162">
        <f>'r-in'!AE282</f>
        <v>1.1782159474761329</v>
      </c>
      <c r="S328" s="157">
        <f>'r-in'!AF282</f>
        <v>4.5710023042575587</v>
      </c>
      <c r="T328" s="157">
        <f>'r-in'!AG282</f>
        <v>1.2366222541503061E-2</v>
      </c>
      <c r="U328" s="157">
        <f>'r-in'!AH282</f>
        <v>4.5736756463374739</v>
      </c>
      <c r="V328" s="157">
        <f>'r-in'!AI282</f>
        <v>1.2483746585728902E-2</v>
      </c>
      <c r="W328" s="158">
        <v>241</v>
      </c>
      <c r="X328" s="764">
        <f t="shared" si="123"/>
        <v>0.88324516820301613</v>
      </c>
      <c r="Y328" s="387">
        <f t="shared" si="125"/>
        <v>4.0396769155553809</v>
      </c>
      <c r="Z328" s="640">
        <f t="shared" si="126"/>
        <v>1.2366222541503061E-2</v>
      </c>
      <c r="AA328" s="473">
        <f t="shared" si="128"/>
        <v>-3.655958674218529</v>
      </c>
      <c r="AB328" s="478">
        <f t="shared" si="129"/>
        <v>0.1232101214294623</v>
      </c>
      <c r="AC328" s="108">
        <v>1</v>
      </c>
      <c r="AD328" s="159">
        <f t="shared" si="124"/>
        <v>0.71534391534391539</v>
      </c>
      <c r="AE328" s="160">
        <v>90</v>
      </c>
      <c r="AF328" s="160">
        <v>14</v>
      </c>
      <c r="AG328" s="160">
        <v>2.1</v>
      </c>
      <c r="AH328" s="303">
        <f t="shared" si="127"/>
        <v>25.178416380436257</v>
      </c>
      <c r="AI328" s="86">
        <f t="shared" si="130"/>
        <v>107778.51224015126</v>
      </c>
      <c r="AJ328" s="86"/>
      <c r="AK328" s="86"/>
      <c r="AL328" s="775"/>
      <c r="AM328" s="775"/>
      <c r="AN328" s="536"/>
      <c r="AP328" s="53"/>
      <c r="AQ328" s="108"/>
      <c r="AR328" s="108"/>
      <c r="AS328" s="724"/>
      <c r="AT328" s="724"/>
      <c r="AU328" s="724"/>
      <c r="AV328" s="634"/>
      <c r="AW328" s="108"/>
      <c r="AX328" s="725"/>
      <c r="AY328" s="53"/>
      <c r="AZ328" s="108"/>
      <c r="BA328" s="771"/>
      <c r="BB328" s="108"/>
      <c r="BC328" s="724"/>
      <c r="BD328" s="724"/>
      <c r="BE328" s="724"/>
      <c r="BF328" s="634"/>
      <c r="BG328" s="108"/>
      <c r="BH328" s="725"/>
      <c r="BI328" s="725"/>
      <c r="BJ328" s="725"/>
      <c r="BK328" s="725"/>
      <c r="BL328" s="634"/>
      <c r="BM328" s="724"/>
      <c r="BN328" s="475"/>
      <c r="BO328" s="475"/>
      <c r="BP328" s="10"/>
      <c r="BY328" s="14">
        <v>9.9860000000000007</v>
      </c>
    </row>
    <row r="329" spans="1:77" ht="15" customHeight="1" x14ac:dyDescent="0.2">
      <c r="A329" s="782" t="str">
        <f>'r-in'!A283</f>
        <v>242_U</v>
      </c>
      <c r="B329" s="707" t="s">
        <v>926</v>
      </c>
      <c r="C329" s="162">
        <f>'r-in'!P283</f>
        <v>923.76499237448036</v>
      </c>
      <c r="D329" s="162">
        <f>'r-in'!Q283</f>
        <v>19.047377745560546</v>
      </c>
      <c r="E329" s="81">
        <f>'r-in'!R283</f>
        <v>1640267.1318130745</v>
      </c>
      <c r="F329" s="162">
        <f>'r-in'!S283</f>
        <v>0.97940116643777264</v>
      </c>
      <c r="G329" s="81">
        <f>'r-in'!T283</f>
        <v>818.50008909059397</v>
      </c>
      <c r="H329" s="162">
        <f>'r-in'!U283</f>
        <v>22.731791163054687</v>
      </c>
      <c r="I329" s="81">
        <f>'r-in'!V283</f>
        <v>875.62535106707355</v>
      </c>
      <c r="J329" s="162">
        <f>'r-in'!W283</f>
        <v>14.669195437912308</v>
      </c>
      <c r="K329" s="81">
        <f>'r-in'!X283</f>
        <v>7419946.6294323048</v>
      </c>
      <c r="L329" s="162">
        <f>'r-in'!Y283</f>
        <v>0.98966667690464771</v>
      </c>
      <c r="M329" s="81">
        <f>'r-in'!Z283</f>
        <v>-583.59372957987341</v>
      </c>
      <c r="N329" s="162">
        <f>'r-in'!AA283</f>
        <v>-40.480402360095709</v>
      </c>
      <c r="O329" s="81">
        <f>'r-in'!AB283</f>
        <v>1605334.0386679599</v>
      </c>
      <c r="P329" s="162">
        <f>'r-in'!AC283</f>
        <v>1.0013692019359259</v>
      </c>
      <c r="Q329" s="81">
        <f>'r-in'!AD283</f>
        <v>7345224.0847475883</v>
      </c>
      <c r="R329" s="162">
        <f>'r-in'!AE283</f>
        <v>0.99981290114026677</v>
      </c>
      <c r="S329" s="157">
        <f>'r-in'!AF283</f>
        <v>4.5720648043942198</v>
      </c>
      <c r="T329" s="157">
        <f>'r-in'!AG283</f>
        <v>1.438727574714229E-2</v>
      </c>
      <c r="U329" s="157">
        <f>'r-in'!AH283</f>
        <v>4.5755686976937175</v>
      </c>
      <c r="V329" s="157">
        <f>'r-in'!AI283</f>
        <v>1.4962417282410425E-2</v>
      </c>
      <c r="W329" s="158">
        <v>242</v>
      </c>
      <c r="X329" s="764">
        <f t="shared" si="123"/>
        <v>0.8832536099296282</v>
      </c>
      <c r="Y329" s="387">
        <f t="shared" si="125"/>
        <v>4.0413875697189834</v>
      </c>
      <c r="Z329" s="640">
        <f t="shared" si="126"/>
        <v>1.438727574714229E-2</v>
      </c>
      <c r="AA329" s="473">
        <f t="shared" si="128"/>
        <v>-3.2340437245077513</v>
      </c>
      <c r="AB329" s="478">
        <f t="shared" si="129"/>
        <v>0.14340746668306537</v>
      </c>
      <c r="AC329" s="108">
        <v>1</v>
      </c>
      <c r="AD329" s="159">
        <f t="shared" si="124"/>
        <v>0.71534391534391539</v>
      </c>
      <c r="AE329" s="160">
        <v>90</v>
      </c>
      <c r="AF329" s="160">
        <v>14</v>
      </c>
      <c r="AG329" s="160">
        <v>2.1</v>
      </c>
      <c r="AH329" s="303">
        <f t="shared" si="127"/>
        <v>24.913097496246877</v>
      </c>
      <c r="AI329" s="86">
        <f t="shared" si="130"/>
        <v>-12586.194320551358</v>
      </c>
      <c r="AJ329" s="86"/>
      <c r="AK329" s="86"/>
      <c r="AL329" s="86"/>
      <c r="AM329" s="86"/>
      <c r="AN329" s="536"/>
      <c r="AP329" s="53"/>
      <c r="AQ329" s="108"/>
      <c r="AR329" s="110"/>
      <c r="AS329" s="724"/>
      <c r="AT329" s="750"/>
      <c r="AU329" s="750"/>
      <c r="AV329" s="751"/>
      <c r="AW329" s="108"/>
      <c r="AX329" s="724"/>
      <c r="AY329" s="53"/>
      <c r="AZ329" s="108"/>
      <c r="BA329" s="771"/>
      <c r="BB329" s="108"/>
      <c r="BC329" s="724"/>
      <c r="BD329" s="724"/>
      <c r="BE329" s="724"/>
      <c r="BF329" s="634"/>
      <c r="BG329" s="108"/>
      <c r="BH329" s="725"/>
      <c r="BI329" s="725"/>
      <c r="BJ329" s="725"/>
      <c r="BK329" s="725"/>
      <c r="BL329" s="725"/>
      <c r="BM329" s="725"/>
      <c r="BN329" s="475"/>
      <c r="BO329" s="475"/>
      <c r="BP329" s="475"/>
      <c r="BY329" s="14">
        <v>9.9860000000000007</v>
      </c>
    </row>
    <row r="330" spans="1:77" ht="15" customHeight="1" x14ac:dyDescent="0.2">
      <c r="A330" s="782" t="str">
        <f>'r-in'!A284</f>
        <v>243_U</v>
      </c>
      <c r="B330" s="707" t="s">
        <v>926</v>
      </c>
      <c r="C330" s="162">
        <f>'r-in'!P284</f>
        <v>712.07031228581729</v>
      </c>
      <c r="D330" s="162">
        <f>'r-in'!Q284</f>
        <v>23.803529994496131</v>
      </c>
      <c r="E330" s="81">
        <f>'r-in'!R284</f>
        <v>1712151.5232431553</v>
      </c>
      <c r="F330" s="162">
        <f>'r-in'!S284</f>
        <v>0.76426478225994954</v>
      </c>
      <c r="G330" s="81">
        <f>'r-in'!T284</f>
        <v>499.79012696526291</v>
      </c>
      <c r="H330" s="162">
        <f>'r-in'!U284</f>
        <v>33.458366566242908</v>
      </c>
      <c r="I330" s="81">
        <f>'r-in'!V284</f>
        <v>614.99054819348999</v>
      </c>
      <c r="J330" s="162">
        <f>'r-in'!W284</f>
        <v>20.130814193489435</v>
      </c>
      <c r="K330" s="81">
        <f>'r-in'!X284</f>
        <v>7748899.6265427461</v>
      </c>
      <c r="L330" s="162">
        <f>'r-in'!Y284</f>
        <v>0.77397006755917497</v>
      </c>
      <c r="M330" s="81">
        <f>'r-in'!Z284</f>
        <v>568.20685538175303</v>
      </c>
      <c r="N330" s="162">
        <f>'r-in'!AA284</f>
        <v>43.585502973057018</v>
      </c>
      <c r="O330" s="81">
        <f>'r-in'!AB284</f>
        <v>1677639.520632687</v>
      </c>
      <c r="P330" s="162">
        <f>'r-in'!AC284</f>
        <v>0.78059504594864437</v>
      </c>
      <c r="Q330" s="81">
        <f>'r-in'!AD284</f>
        <v>7673901.4581438694</v>
      </c>
      <c r="R330" s="162">
        <f>'r-in'!AE284</f>
        <v>0.78100951415821751</v>
      </c>
      <c r="S330" s="157">
        <f>'r-in'!AF284</f>
        <v>4.5726644343795222</v>
      </c>
      <c r="T330" s="157">
        <f>'r-in'!AG284</f>
        <v>1.3977644047458602E-2</v>
      </c>
      <c r="U330" s="157">
        <f>'r-in'!AH284</f>
        <v>4.5742144368638256</v>
      </c>
      <c r="V330" s="157">
        <f>'r-in'!AI284</f>
        <v>1.3386336875588611E-2</v>
      </c>
      <c r="W330" s="158">
        <v>243</v>
      </c>
      <c r="X330" s="764">
        <f t="shared" si="123"/>
        <v>0.88326212751617106</v>
      </c>
      <c r="Y330" s="387">
        <f t="shared" si="125"/>
        <v>4.0402303752195268</v>
      </c>
      <c r="Z330" s="640">
        <f t="shared" si="126"/>
        <v>1.3977644047458602E-2</v>
      </c>
      <c r="AA330" s="473">
        <f t="shared" si="128"/>
        <v>-3.5194536392830766</v>
      </c>
      <c r="AB330" s="478">
        <f t="shared" si="129"/>
        <v>0.13928450377231893</v>
      </c>
      <c r="AC330" s="108">
        <v>1</v>
      </c>
      <c r="AD330" s="159">
        <f t="shared" si="124"/>
        <v>0.71534391534391539</v>
      </c>
      <c r="AE330" s="160">
        <v>90</v>
      </c>
      <c r="AF330" s="160">
        <v>14</v>
      </c>
      <c r="AG330" s="160">
        <v>2.1</v>
      </c>
      <c r="AH330" s="303">
        <f t="shared" si="127"/>
        <v>26.051075817943399</v>
      </c>
      <c r="AI330" s="86">
        <f t="shared" si="130"/>
        <v>13505.471441361113</v>
      </c>
      <c r="AJ330" s="86"/>
      <c r="AK330" s="86"/>
      <c r="AL330" s="775"/>
      <c r="AM330" s="775"/>
      <c r="AN330" s="536"/>
      <c r="AP330" s="53"/>
      <c r="AQ330" s="108"/>
      <c r="AR330" s="108"/>
      <c r="AS330" s="724"/>
      <c r="AT330" s="724"/>
      <c r="AU330" s="724"/>
      <c r="AV330" s="634"/>
      <c r="AW330" s="108"/>
      <c r="AX330" s="725"/>
      <c r="AY330" s="53"/>
      <c r="AZ330" s="108"/>
      <c r="BA330" s="771"/>
      <c r="BB330" s="108"/>
      <c r="BC330" s="724"/>
      <c r="BD330" s="724"/>
      <c r="BE330" s="724"/>
      <c r="BF330" s="634"/>
      <c r="BG330" s="108"/>
      <c r="BH330" s="725"/>
      <c r="BI330" s="725"/>
      <c r="BJ330" s="725"/>
      <c r="BK330" s="725"/>
      <c r="BL330" s="634"/>
      <c r="BM330" s="724"/>
      <c r="BN330" s="475"/>
      <c r="BO330" s="475"/>
      <c r="BP330" s="10"/>
      <c r="BY330" s="14">
        <v>9.9860000000000007</v>
      </c>
    </row>
    <row r="331" spans="1:77" ht="15" customHeight="1" x14ac:dyDescent="0.2">
      <c r="A331" s="782" t="str">
        <f>'r-in'!A285</f>
        <v>244_U</v>
      </c>
      <c r="B331" s="707" t="s">
        <v>926</v>
      </c>
      <c r="C331" s="162">
        <f>'r-in'!P285</f>
        <v>631.64272571057234</v>
      </c>
      <c r="D331" s="162">
        <f>'r-in'!Q285</f>
        <v>26.903111064974116</v>
      </c>
      <c r="E331" s="81">
        <f>'r-in'!R285</f>
        <v>1619957.53930271</v>
      </c>
      <c r="F331" s="162">
        <f>'r-in'!S285</f>
        <v>0.86897842829867156</v>
      </c>
      <c r="G331" s="81">
        <f>'r-in'!T285</f>
        <v>842.96483001064109</v>
      </c>
      <c r="H331" s="162">
        <f>'r-in'!U285</f>
        <v>20.059985516137591</v>
      </c>
      <c r="I331" s="81">
        <f>'r-in'!V285</f>
        <v>728.28434113956769</v>
      </c>
      <c r="J331" s="162">
        <f>'r-in'!W285</f>
        <v>18.63317324019415</v>
      </c>
      <c r="K331" s="81">
        <f>'r-in'!X285</f>
        <v>7325363.2499899808</v>
      </c>
      <c r="L331" s="162">
        <f>'r-in'!Y285</f>
        <v>0.87870580304987844</v>
      </c>
      <c r="M331" s="81">
        <f>'r-in'!Z285</f>
        <v>946.55186726778072</v>
      </c>
      <c r="N331" s="162">
        <f>'r-in'!AA285</f>
        <v>20.092636339615336</v>
      </c>
      <c r="O331" s="81">
        <f>'r-in'!AB285</f>
        <v>1584998.4713942187</v>
      </c>
      <c r="P331" s="162">
        <f>'r-in'!AC285</f>
        <v>0.88863312148643614</v>
      </c>
      <c r="Q331" s="81">
        <f>'r-in'!AD285</f>
        <v>7248513.1339307949</v>
      </c>
      <c r="R331" s="162">
        <f>'r-in'!AE285</f>
        <v>0.8875805702107924</v>
      </c>
      <c r="S331" s="157">
        <f>'r-in'!AF285</f>
        <v>4.5701642132796723</v>
      </c>
      <c r="T331" s="157">
        <f>'r-in'!AG285</f>
        <v>1.1354524978107398E-2</v>
      </c>
      <c r="U331" s="157">
        <f>'r-in'!AH285</f>
        <v>4.573237588076716</v>
      </c>
      <c r="V331" s="157">
        <f>'r-in'!AI285</f>
        <v>1.5574509777005387E-2</v>
      </c>
      <c r="W331" s="158">
        <v>244</v>
      </c>
      <c r="X331" s="764">
        <f t="shared" si="123"/>
        <v>0.88327072911898408</v>
      </c>
      <c r="Y331" s="387">
        <f t="shared" si="125"/>
        <v>4.0394068988548648</v>
      </c>
      <c r="Z331" s="640">
        <f t="shared" si="126"/>
        <v>1.1354524978107398E-2</v>
      </c>
      <c r="AA331" s="473">
        <f t="shared" si="128"/>
        <v>-3.7225554680319073</v>
      </c>
      <c r="AB331" s="478">
        <f t="shared" si="129"/>
        <v>0.11312257129059144</v>
      </c>
      <c r="AC331" s="108">
        <v>1</v>
      </c>
      <c r="AD331" s="159">
        <f t="shared" si="124"/>
        <v>0.71534391534391539</v>
      </c>
      <c r="AE331" s="160">
        <v>90</v>
      </c>
      <c r="AF331" s="160">
        <v>14</v>
      </c>
      <c r="AG331" s="160">
        <v>2.1</v>
      </c>
      <c r="AH331" s="303">
        <f t="shared" si="127"/>
        <v>24.629222964010754</v>
      </c>
      <c r="AI331" s="86">
        <f t="shared" si="130"/>
        <v>7657.8087103178059</v>
      </c>
      <c r="AJ331" s="86"/>
      <c r="AK331" s="86"/>
      <c r="AL331" s="86"/>
      <c r="AM331" s="86"/>
      <c r="AN331" s="536"/>
      <c r="AP331" s="53"/>
      <c r="AQ331" s="108"/>
      <c r="AR331" s="110"/>
      <c r="AS331" s="724"/>
      <c r="AT331" s="750"/>
      <c r="AU331" s="750"/>
      <c r="AV331" s="751"/>
      <c r="AW331" s="108"/>
      <c r="AX331" s="724"/>
      <c r="AY331" s="53"/>
      <c r="AZ331" s="108"/>
      <c r="BA331" s="771"/>
      <c r="BB331" s="108"/>
      <c r="BC331" s="724"/>
      <c r="BD331" s="724"/>
      <c r="BE331" s="724"/>
      <c r="BF331" s="634"/>
      <c r="BG331" s="108"/>
      <c r="BH331" s="725"/>
      <c r="BI331" s="725"/>
      <c r="BJ331" s="725"/>
      <c r="BK331" s="725"/>
      <c r="BL331" s="725"/>
      <c r="BM331" s="725"/>
      <c r="BN331" s="475"/>
      <c r="BO331" s="475"/>
      <c r="BP331" s="475"/>
      <c r="BY331" s="14">
        <v>9.9860000000000007</v>
      </c>
    </row>
    <row r="332" spans="1:77" ht="15" customHeight="1" x14ac:dyDescent="0.2">
      <c r="A332" s="782" t="str">
        <f>'r-in'!A286</f>
        <v>245_U</v>
      </c>
      <c r="B332" s="707" t="s">
        <v>926</v>
      </c>
      <c r="C332" s="162">
        <f>'r-in'!P286</f>
        <v>676.61909218560515</v>
      </c>
      <c r="D332" s="162">
        <f>'r-in'!Q286</f>
        <v>24.599955372730669</v>
      </c>
      <c r="E332" s="81">
        <f>'r-in'!R286</f>
        <v>1789331.6298089128</v>
      </c>
      <c r="F332" s="162">
        <f>'r-in'!S286</f>
        <v>1.0003915669652212</v>
      </c>
      <c r="G332" s="81">
        <f>'r-in'!T286</f>
        <v>976.88994511504779</v>
      </c>
      <c r="H332" s="162">
        <f>'r-in'!U286</f>
        <v>21.111362203863035</v>
      </c>
      <c r="I332" s="81">
        <f>'r-in'!V286</f>
        <v>813.9386612361684</v>
      </c>
      <c r="J332" s="162">
        <f>'r-in'!W286</f>
        <v>15.274976898897405</v>
      </c>
      <c r="K332" s="81">
        <f>'r-in'!X286</f>
        <v>8100601.9773576232</v>
      </c>
      <c r="L332" s="162">
        <f>'r-in'!Y286</f>
        <v>1.010278850990193</v>
      </c>
      <c r="M332" s="81">
        <f>'r-in'!Z286</f>
        <v>747.94630361339728</v>
      </c>
      <c r="N332" s="162">
        <f>'r-in'!AA286</f>
        <v>27.122958236481661</v>
      </c>
      <c r="O332" s="81">
        <f>'r-in'!AB286</f>
        <v>1754197.753832526</v>
      </c>
      <c r="P332" s="162">
        <f>'r-in'!AC286</f>
        <v>1.0202326781448106</v>
      </c>
      <c r="Q332" s="81">
        <f>'r-in'!AD286</f>
        <v>8024177.1349276118</v>
      </c>
      <c r="R332" s="162">
        <f>'r-in'!AE286</f>
        <v>1.0195191952540241</v>
      </c>
      <c r="S332" s="157">
        <f>'r-in'!AF286</f>
        <v>4.571806385055317</v>
      </c>
      <c r="T332" s="157">
        <f>'r-in'!AG286</f>
        <v>1.4366810467803044E-2</v>
      </c>
      <c r="U332" s="157">
        <f>'r-in'!AH286</f>
        <v>4.5743045517455005</v>
      </c>
      <c r="V332" s="157">
        <f>'r-in'!AI286</f>
        <v>1.6095015806720733E-2</v>
      </c>
      <c r="W332" s="158">
        <v>245</v>
      </c>
      <c r="X332" s="764">
        <f t="shared" si="123"/>
        <v>0.88327942301306661</v>
      </c>
      <c r="Y332" s="387">
        <f t="shared" si="125"/>
        <v>4.0403890851518103</v>
      </c>
      <c r="Z332" s="640">
        <f t="shared" si="126"/>
        <v>1.4366810467803044E-2</v>
      </c>
      <c r="AA332" s="473">
        <f t="shared" si="128"/>
        <v>-3.4803094951756375</v>
      </c>
      <c r="AB332" s="478">
        <f t="shared" si="129"/>
        <v>0.14316809520920071</v>
      </c>
      <c r="AC332" s="108">
        <v>1</v>
      </c>
      <c r="AD332" s="159">
        <f t="shared" si="124"/>
        <v>0.71534391534391539</v>
      </c>
      <c r="AE332" s="160">
        <v>90</v>
      </c>
      <c r="AF332" s="160">
        <v>14</v>
      </c>
      <c r="AG332" s="160">
        <v>2.1</v>
      </c>
      <c r="AH332" s="303">
        <f t="shared" si="127"/>
        <v>27.289795927661601</v>
      </c>
      <c r="AI332" s="86">
        <f t="shared" si="130"/>
        <v>10728.279685536349</v>
      </c>
      <c r="AJ332" s="86"/>
      <c r="AK332" s="86"/>
      <c r="AL332" s="775"/>
      <c r="AM332" s="775"/>
      <c r="AN332" s="536"/>
      <c r="AP332" s="53"/>
      <c r="AQ332" s="108"/>
      <c r="AR332" s="108"/>
      <c r="AS332" s="724"/>
      <c r="AT332" s="724"/>
      <c r="AU332" s="724"/>
      <c r="AV332" s="634"/>
      <c r="AW332" s="108"/>
      <c r="AX332" s="725"/>
      <c r="AY332" s="53"/>
      <c r="AZ332" s="108"/>
      <c r="BA332" s="771"/>
      <c r="BB332" s="108"/>
      <c r="BC332" s="724"/>
      <c r="BD332" s="724"/>
      <c r="BE332" s="724"/>
      <c r="BF332" s="634"/>
      <c r="BG332" s="108"/>
      <c r="BH332" s="725"/>
      <c r="BI332" s="725"/>
      <c r="BJ332" s="725"/>
      <c r="BK332" s="725"/>
      <c r="BL332" s="634"/>
      <c r="BM332" s="724"/>
      <c r="BN332" s="475"/>
      <c r="BO332" s="475"/>
      <c r="BP332" s="10"/>
      <c r="BY332" s="14">
        <v>9.9860000000000007</v>
      </c>
    </row>
    <row r="333" spans="1:77" ht="15" customHeight="1" x14ac:dyDescent="0.2">
      <c r="A333" s="782" t="str">
        <f>'r-in'!A287</f>
        <v>246_U</v>
      </c>
      <c r="B333" s="707" t="s">
        <v>926</v>
      </c>
      <c r="C333" s="162">
        <f>'r-in'!P287</f>
        <v>462.48519896678255</v>
      </c>
      <c r="D333" s="162">
        <f>'r-in'!Q287</f>
        <v>38.018284605138803</v>
      </c>
      <c r="E333" s="81">
        <f>'r-in'!R287</f>
        <v>1590087.2583186699</v>
      </c>
      <c r="F333" s="162">
        <f>'r-in'!S287</f>
        <v>0.86659589200435816</v>
      </c>
      <c r="G333" s="81">
        <f>'r-in'!T287</f>
        <v>585.92824743735378</v>
      </c>
      <c r="H333" s="162">
        <f>'r-in'!U287</f>
        <v>25.968429530507994</v>
      </c>
      <c r="I333" s="81">
        <f>'r-in'!V287</f>
        <v>518.93805162594413</v>
      </c>
      <c r="J333" s="162">
        <f>'r-in'!W287</f>
        <v>21.360283440390752</v>
      </c>
      <c r="K333" s="81">
        <f>'r-in'!X287</f>
        <v>7186569.9069942757</v>
      </c>
      <c r="L333" s="162">
        <f>'r-in'!Y287</f>
        <v>0.87718079780983682</v>
      </c>
      <c r="M333" s="81">
        <f>'r-in'!Z287</f>
        <v>-564.87409607709742</v>
      </c>
      <c r="N333" s="162">
        <f>'r-in'!AA287</f>
        <v>-41.6589110589345</v>
      </c>
      <c r="O333" s="81">
        <f>'r-in'!AB287</f>
        <v>1555062.410605693</v>
      </c>
      <c r="P333" s="162">
        <f>'r-in'!AC287</f>
        <v>0.88599165785571132</v>
      </c>
      <c r="Q333" s="81">
        <f>'r-in'!AD287</f>
        <v>7110539.1028611362</v>
      </c>
      <c r="R333" s="162">
        <f>'r-in'!AE287</f>
        <v>0.88795572742339679</v>
      </c>
      <c r="S333" s="157">
        <f>'r-in'!AF287</f>
        <v>4.5706078285770468</v>
      </c>
      <c r="T333" s="157">
        <f>'r-in'!AG287</f>
        <v>1.2110634616647737E-2</v>
      </c>
      <c r="U333" s="157">
        <f>'r-in'!AH287</f>
        <v>4.5724490087784604</v>
      </c>
      <c r="V333" s="157">
        <f>'r-in'!AI287</f>
        <v>1.3086670336524943E-2</v>
      </c>
      <c r="W333" s="158">
        <v>246</v>
      </c>
      <c r="X333" s="764">
        <f t="shared" si="123"/>
        <v>0.8832882175921043</v>
      </c>
      <c r="Y333" s="387">
        <f t="shared" si="125"/>
        <v>4.0387903349947107</v>
      </c>
      <c r="Z333" s="640">
        <f t="shared" si="126"/>
        <v>1.2110634616647737E-2</v>
      </c>
      <c r="AA333" s="473">
        <f t="shared" si="128"/>
        <v>-3.8746244926104456</v>
      </c>
      <c r="AB333" s="478">
        <f t="shared" si="129"/>
        <v>0.1206371045514576</v>
      </c>
      <c r="AC333" s="108">
        <v>1</v>
      </c>
      <c r="AD333" s="159">
        <f t="shared" si="124"/>
        <v>0.71534391534391539</v>
      </c>
      <c r="AE333" s="160">
        <v>90</v>
      </c>
      <c r="AF333" s="160">
        <v>14</v>
      </c>
      <c r="AG333" s="160">
        <v>2.1</v>
      </c>
      <c r="AH333" s="303">
        <f t="shared" si="127"/>
        <v>24.205054948975583</v>
      </c>
      <c r="AI333" s="86">
        <f t="shared" si="130"/>
        <v>-12587.830017772043</v>
      </c>
      <c r="AJ333" s="86"/>
      <c r="AK333" s="86"/>
      <c r="AL333" s="86"/>
      <c r="AM333" s="86"/>
      <c r="AN333" s="536"/>
      <c r="AP333" s="53"/>
      <c r="AQ333" s="108"/>
      <c r="AR333" s="110"/>
      <c r="AS333" s="724"/>
      <c r="AT333" s="750"/>
      <c r="AU333" s="750"/>
      <c r="AV333" s="751"/>
      <c r="AW333" s="108"/>
      <c r="AX333" s="724"/>
      <c r="AY333" s="53"/>
      <c r="AZ333" s="108"/>
      <c r="BA333" s="771"/>
      <c r="BB333" s="108"/>
      <c r="BC333" s="724"/>
      <c r="BD333" s="724"/>
      <c r="BE333" s="724"/>
      <c r="BF333" s="634"/>
      <c r="BG333" s="108"/>
      <c r="BH333" s="725"/>
      <c r="BI333" s="725"/>
      <c r="BJ333" s="725"/>
      <c r="BK333" s="725"/>
      <c r="BL333" s="725"/>
      <c r="BM333" s="725"/>
      <c r="BN333" s="475"/>
      <c r="BO333" s="475"/>
      <c r="BP333" s="475"/>
      <c r="BY333" s="14">
        <v>9.9860000000000007</v>
      </c>
    </row>
    <row r="334" spans="1:77" ht="15" customHeight="1" x14ac:dyDescent="0.2">
      <c r="A334" s="782" t="str">
        <f>'r-in'!A288</f>
        <v>247_U</v>
      </c>
      <c r="B334" s="707" t="s">
        <v>926</v>
      </c>
      <c r="C334" s="162">
        <f>'r-in'!P288</f>
        <v>427.36373132253641</v>
      </c>
      <c r="D334" s="162">
        <f>'r-in'!Q288</f>
        <v>42.562659856658698</v>
      </c>
      <c r="E334" s="81">
        <f>'r-in'!R288</f>
        <v>1678089.2300388925</v>
      </c>
      <c r="F334" s="162">
        <f>'r-in'!S288</f>
        <v>0.80029779792155264</v>
      </c>
      <c r="G334" s="81">
        <f>'r-in'!T288</f>
        <v>427.05757315496555</v>
      </c>
      <c r="H334" s="162">
        <f>'r-in'!U288</f>
        <v>37.96673767116819</v>
      </c>
      <c r="I334" s="81">
        <f>'r-in'!V288</f>
        <v>427.22371937258526</v>
      </c>
      <c r="J334" s="162">
        <f>'r-in'!W288</f>
        <v>27.662413544887734</v>
      </c>
      <c r="K334" s="81">
        <f>'r-in'!X288</f>
        <v>7591189.5801180406</v>
      </c>
      <c r="L334" s="162">
        <f>'r-in'!Y288</f>
        <v>0.80742093008784144</v>
      </c>
      <c r="M334" s="81">
        <f>'r-in'!Z288</f>
        <v>534.43307100002642</v>
      </c>
      <c r="N334" s="162">
        <f>'r-in'!AA288</f>
        <v>56.482122794548502</v>
      </c>
      <c r="O334" s="81">
        <f>'r-in'!AB288</f>
        <v>1643395.5438043189</v>
      </c>
      <c r="P334" s="162">
        <f>'r-in'!AC288</f>
        <v>0.81777414510004542</v>
      </c>
      <c r="Q334" s="81">
        <f>'r-in'!AD288</f>
        <v>7515270.3903667415</v>
      </c>
      <c r="R334" s="162">
        <f>'r-in'!AE288</f>
        <v>0.81493157509174174</v>
      </c>
      <c r="S334" s="157">
        <f>'r-in'!AF288</f>
        <v>4.5724860792547801</v>
      </c>
      <c r="T334" s="157">
        <f>'r-in'!AG288</f>
        <v>1.351523497114351E-2</v>
      </c>
      <c r="U334" s="157">
        <f>'r-in'!AH288</f>
        <v>4.573100198779958</v>
      </c>
      <c r="V334" s="157">
        <f>'r-in'!AI288</f>
        <v>1.2418208563652533E-2</v>
      </c>
      <c r="W334" s="158">
        <v>247</v>
      </c>
      <c r="X334" s="764">
        <f t="shared" si="123"/>
        <v>0.88329712136850091</v>
      </c>
      <c r="Y334" s="387">
        <f t="shared" si="125"/>
        <v>4.0394062413120562</v>
      </c>
      <c r="Z334" s="640">
        <f t="shared" si="126"/>
        <v>1.351523497114351E-2</v>
      </c>
      <c r="AA334" s="473">
        <f t="shared" si="128"/>
        <v>-3.7227176440852716</v>
      </c>
      <c r="AB334" s="478">
        <f t="shared" si="129"/>
        <v>0.13464921567452048</v>
      </c>
      <c r="AC334" s="108">
        <v>1</v>
      </c>
      <c r="AD334" s="159">
        <f t="shared" si="124"/>
        <v>0.71534391534391539</v>
      </c>
      <c r="AE334" s="160">
        <v>90</v>
      </c>
      <c r="AF334" s="160">
        <v>14</v>
      </c>
      <c r="AG334" s="160">
        <v>2.1</v>
      </c>
      <c r="AH334" s="303">
        <f t="shared" si="127"/>
        <v>25.606945521895629</v>
      </c>
      <c r="AI334" s="86">
        <f t="shared" si="130"/>
        <v>14062.135743778419</v>
      </c>
      <c r="AJ334" s="86"/>
      <c r="AK334" s="86"/>
      <c r="AL334" s="775"/>
      <c r="AM334" s="775"/>
      <c r="AN334" s="536"/>
      <c r="AP334" s="53"/>
      <c r="AQ334" s="108"/>
      <c r="AR334" s="108"/>
      <c r="AS334" s="724"/>
      <c r="AT334" s="724"/>
      <c r="AU334" s="724"/>
      <c r="AV334" s="634"/>
      <c r="AW334" s="108"/>
      <c r="AX334" s="725"/>
      <c r="AY334" s="53"/>
      <c r="AZ334" s="108"/>
      <c r="BA334" s="771"/>
      <c r="BB334" s="108"/>
      <c r="BC334" s="724"/>
      <c r="BD334" s="724"/>
      <c r="BE334" s="724"/>
      <c r="BF334" s="634"/>
      <c r="BG334" s="108"/>
      <c r="BH334" s="725"/>
      <c r="BI334" s="725"/>
      <c r="BJ334" s="725"/>
      <c r="BK334" s="725"/>
      <c r="BL334" s="634"/>
      <c r="BM334" s="724"/>
      <c r="BN334" s="475"/>
      <c r="BO334" s="475"/>
      <c r="BP334" s="10"/>
      <c r="BY334" s="14">
        <v>9.9860000000000007</v>
      </c>
    </row>
    <row r="335" spans="1:77" ht="15" customHeight="1" x14ac:dyDescent="0.2">
      <c r="A335" s="782" t="str">
        <f>'r-in'!A289</f>
        <v>248_U</v>
      </c>
      <c r="B335" s="707" t="s">
        <v>926</v>
      </c>
      <c r="C335" s="162">
        <f>'r-in'!P289</f>
        <v>456.83805762360242</v>
      </c>
      <c r="D335" s="162">
        <f>'r-in'!Q289</f>
        <v>40.874388761516684</v>
      </c>
      <c r="E335" s="81">
        <f>'r-in'!R289</f>
        <v>1558659.6866290534</v>
      </c>
      <c r="F335" s="162">
        <f>'r-in'!S289</f>
        <v>0.64516293089491683</v>
      </c>
      <c r="G335" s="81">
        <f>'r-in'!T289</f>
        <v>607.6505353567436</v>
      </c>
      <c r="H335" s="162">
        <f>'r-in'!U289</f>
        <v>31.699602483503238</v>
      </c>
      <c r="I335" s="81">
        <f>'r-in'!V289</f>
        <v>525.80747056435428</v>
      </c>
      <c r="J335" s="162">
        <f>'r-in'!W289</f>
        <v>25.069478650507115</v>
      </c>
      <c r="K335" s="81">
        <f>'r-in'!X289</f>
        <v>7044435.4873841209</v>
      </c>
      <c r="L335" s="162">
        <f>'r-in'!Y289</f>
        <v>0.65421009720500223</v>
      </c>
      <c r="M335" s="81">
        <f>'r-in'!Z289</f>
        <v>1068.0724764880558</v>
      </c>
      <c r="N335" s="162">
        <f>'r-in'!AA289</f>
        <v>23.806951431531477</v>
      </c>
      <c r="O335" s="81">
        <f>'r-in'!AB289</f>
        <v>1523695.116173266</v>
      </c>
      <c r="P335" s="162">
        <f>'r-in'!AC289</f>
        <v>0.65888931019344366</v>
      </c>
      <c r="Q335" s="81">
        <f>'r-in'!AD289</f>
        <v>6967492.1641805023</v>
      </c>
      <c r="R335" s="162">
        <f>'r-in'!AE289</f>
        <v>0.66217885682618471</v>
      </c>
      <c r="S335" s="157">
        <f>'r-in'!AF289</f>
        <v>4.5714213032790996</v>
      </c>
      <c r="T335" s="157">
        <f>'r-in'!AG289</f>
        <v>1.4592076073301985E-2</v>
      </c>
      <c r="U335" s="157">
        <f>'r-in'!AH289</f>
        <v>4.5726882065078129</v>
      </c>
      <c r="V335" s="157">
        <f>'r-in'!AI289</f>
        <v>1.4690208769918545E-2</v>
      </c>
      <c r="W335" s="158">
        <v>248</v>
      </c>
      <c r="X335" s="764">
        <f t="shared" si="123"/>
        <v>0.88330614297340915</v>
      </c>
      <c r="Y335" s="387">
        <f t="shared" si="125"/>
        <v>4.0390835827104121</v>
      </c>
      <c r="Z335" s="640">
        <f t="shared" si="126"/>
        <v>1.4592076073301985E-2</v>
      </c>
      <c r="AA335" s="473">
        <f t="shared" si="128"/>
        <v>-3.8022980119837291</v>
      </c>
      <c r="AB335" s="478">
        <f t="shared" si="129"/>
        <v>0.14536592651459568</v>
      </c>
      <c r="AC335" s="108">
        <v>1</v>
      </c>
      <c r="AD335" s="159">
        <f t="shared" si="124"/>
        <v>0.71534391534391539</v>
      </c>
      <c r="AE335" s="160">
        <v>90</v>
      </c>
      <c r="AF335" s="160">
        <v>14</v>
      </c>
      <c r="AG335" s="160">
        <v>2.1</v>
      </c>
      <c r="AH335" s="303">
        <f t="shared" si="127"/>
        <v>23.763217191936238</v>
      </c>
      <c r="AI335" s="86">
        <f t="shared" si="130"/>
        <v>6523.4263756055316</v>
      </c>
      <c r="AJ335" s="86"/>
      <c r="AK335" s="86"/>
      <c r="AL335" s="86"/>
      <c r="AM335" s="86"/>
      <c r="AN335" s="536"/>
      <c r="AP335" s="53"/>
      <c r="AQ335" s="108"/>
      <c r="AR335" s="110"/>
      <c r="AS335" s="724"/>
      <c r="AT335" s="750"/>
      <c r="AU335" s="750"/>
      <c r="AV335" s="751"/>
      <c r="AW335" s="108"/>
      <c r="AX335" s="724"/>
      <c r="AY335" s="53"/>
      <c r="AZ335" s="108"/>
      <c r="BA335" s="771"/>
      <c r="BB335" s="108"/>
      <c r="BC335" s="724"/>
      <c r="BD335" s="724"/>
      <c r="BE335" s="724"/>
      <c r="BF335" s="634"/>
      <c r="BG335" s="108"/>
      <c r="BH335" s="725"/>
      <c r="BI335" s="725"/>
      <c r="BJ335" s="725"/>
      <c r="BK335" s="725"/>
      <c r="BL335" s="725"/>
      <c r="BM335" s="725"/>
      <c r="BN335" s="475"/>
      <c r="BO335" s="475"/>
      <c r="BP335" s="475"/>
      <c r="BY335" s="14">
        <v>9.9860000000000007</v>
      </c>
    </row>
    <row r="336" spans="1:77" ht="15" customHeight="1" x14ac:dyDescent="0.2">
      <c r="A336" s="782" t="str">
        <f>'r-in'!A290</f>
        <v>249_U</v>
      </c>
      <c r="B336" s="707" t="s">
        <v>926</v>
      </c>
      <c r="C336" s="162">
        <f>'r-in'!P290</f>
        <v>611.61852727972803</v>
      </c>
      <c r="D336" s="162">
        <f>'r-in'!Q290</f>
        <v>28.381272754813992</v>
      </c>
      <c r="E336" s="81">
        <f>'r-in'!R290</f>
        <v>1550980.1160685429</v>
      </c>
      <c r="F336" s="162">
        <f>'r-in'!S290</f>
        <v>0.79052365020604676</v>
      </c>
      <c r="G336" s="81">
        <f>'r-in'!T290</f>
        <v>596.8528253340188</v>
      </c>
      <c r="H336" s="162">
        <f>'r-in'!U290</f>
        <v>26.981723906976825</v>
      </c>
      <c r="I336" s="81">
        <f>'r-in'!V290</f>
        <v>604.86589109099248</v>
      </c>
      <c r="J336" s="162">
        <f>'r-in'!W290</f>
        <v>21.778327380883251</v>
      </c>
      <c r="K336" s="81">
        <f>'r-in'!X290</f>
        <v>7009512.1907408042</v>
      </c>
      <c r="L336" s="162">
        <f>'r-in'!Y290</f>
        <v>0.80100817925977674</v>
      </c>
      <c r="M336" s="81">
        <f>'r-in'!Z290</f>
        <v>443.95421373373978</v>
      </c>
      <c r="N336" s="162">
        <f>'r-in'!AA290</f>
        <v>45.203203230143615</v>
      </c>
      <c r="O336" s="81">
        <f>'r-in'!AB290</f>
        <v>1515958.3479984973</v>
      </c>
      <c r="P336" s="162">
        <f>'r-in'!AC290</f>
        <v>0.81059183548852309</v>
      </c>
      <c r="Q336" s="81">
        <f>'r-in'!AD290</f>
        <v>6933196.1463585971</v>
      </c>
      <c r="R336" s="162">
        <f>'r-in'!AE290</f>
        <v>0.81050045571274065</v>
      </c>
      <c r="S336" s="157">
        <f>'r-in'!AF290</f>
        <v>4.5716869276023173</v>
      </c>
      <c r="T336" s="157">
        <f>'r-in'!AG290</f>
        <v>1.3651433307859848E-2</v>
      </c>
      <c r="U336" s="157">
        <f>'r-in'!AH290</f>
        <v>4.5734879693067159</v>
      </c>
      <c r="V336" s="157">
        <f>'r-in'!AI290</f>
        <v>1.780906679198287E-2</v>
      </c>
      <c r="W336" s="158">
        <v>249</v>
      </c>
      <c r="X336" s="764">
        <f t="shared" si="123"/>
        <v>0.88331529115676566</v>
      </c>
      <c r="Y336" s="387">
        <f t="shared" si="125"/>
        <v>4.0398318572101264</v>
      </c>
      <c r="Z336" s="640">
        <f t="shared" si="126"/>
        <v>1.3651433307859848E-2</v>
      </c>
      <c r="AA336" s="473">
        <f t="shared" si="128"/>
        <v>-3.6177439363358488</v>
      </c>
      <c r="AB336" s="478">
        <f t="shared" si="129"/>
        <v>0.13602045917793237</v>
      </c>
      <c r="AC336" s="108">
        <v>1</v>
      </c>
      <c r="AD336" s="159">
        <f t="shared" si="124"/>
        <v>0.71534391534391539</v>
      </c>
      <c r="AE336" s="160">
        <v>90</v>
      </c>
      <c r="AF336" s="160">
        <v>14</v>
      </c>
      <c r="AG336" s="160">
        <v>2.1</v>
      </c>
      <c r="AH336" s="303">
        <f t="shared" si="127"/>
        <v>23.669216067064003</v>
      </c>
      <c r="AI336" s="86">
        <f t="shared" si="130"/>
        <v>15616.917087122774</v>
      </c>
      <c r="AJ336" s="86"/>
      <c r="AK336" s="86"/>
      <c r="AL336" s="775"/>
      <c r="AM336" s="775"/>
      <c r="AN336" s="536"/>
      <c r="AP336" s="53"/>
      <c r="AQ336" s="108"/>
      <c r="AR336" s="108"/>
      <c r="AS336" s="724"/>
      <c r="AT336" s="724"/>
      <c r="AU336" s="724"/>
      <c r="AV336" s="634"/>
      <c r="AW336" s="108"/>
      <c r="AX336" s="725"/>
      <c r="AY336" s="53"/>
      <c r="AZ336" s="108"/>
      <c r="BA336" s="771"/>
      <c r="BB336" s="108"/>
      <c r="BC336" s="724"/>
      <c r="BD336" s="724"/>
      <c r="BE336" s="724"/>
      <c r="BF336" s="634"/>
      <c r="BG336" s="108"/>
      <c r="BH336" s="725"/>
      <c r="BI336" s="725"/>
      <c r="BJ336" s="725"/>
      <c r="BK336" s="725"/>
      <c r="BL336" s="634"/>
      <c r="BM336" s="724"/>
      <c r="BN336" s="475"/>
      <c r="BO336" s="475"/>
      <c r="BP336" s="10"/>
      <c r="BY336" s="14">
        <v>9.9860000000000007</v>
      </c>
    </row>
    <row r="337" spans="1:77" ht="15" customHeight="1" x14ac:dyDescent="0.2">
      <c r="A337" s="782" t="str">
        <f>'r-in'!A291</f>
        <v>250_U</v>
      </c>
      <c r="B337" s="707" t="s">
        <v>926</v>
      </c>
      <c r="C337" s="162">
        <f>'r-in'!P291</f>
        <v>505.84686803797393</v>
      </c>
      <c r="D337" s="162">
        <f>'r-in'!Q291</f>
        <v>34.102104507267399</v>
      </c>
      <c r="E337" s="81">
        <f>'r-in'!R291</f>
        <v>1560702.219462326</v>
      </c>
      <c r="F337" s="162">
        <f>'r-in'!S291</f>
        <v>0.33102558460586051</v>
      </c>
      <c r="G337" s="81">
        <f>'r-in'!T291</f>
        <v>767.12112747247932</v>
      </c>
      <c r="H337" s="162">
        <f>'r-in'!U291</f>
        <v>20.965415183280445</v>
      </c>
      <c r="I337" s="81">
        <f>'r-in'!V291</f>
        <v>625.33255357662961</v>
      </c>
      <c r="J337" s="162">
        <f>'r-in'!W291</f>
        <v>17.531976597111225</v>
      </c>
      <c r="K337" s="81">
        <f>'r-in'!X291</f>
        <v>7053862.5481607933</v>
      </c>
      <c r="L337" s="162">
        <f>'r-in'!Y291</f>
        <v>0.33480117969852619</v>
      </c>
      <c r="M337" s="81">
        <f>'r-in'!Z291</f>
        <v>496.71624424940688</v>
      </c>
      <c r="N337" s="162">
        <f>'r-in'!AA291</f>
        <v>30.9038847161993</v>
      </c>
      <c r="O337" s="81">
        <f>'r-in'!AB291</f>
        <v>1525950.1984112724</v>
      </c>
      <c r="P337" s="162">
        <f>'r-in'!AC291</f>
        <v>0.3395789264693736</v>
      </c>
      <c r="Q337" s="81">
        <f>'r-in'!AD291</f>
        <v>6978062.9419326829</v>
      </c>
      <c r="R337" s="162">
        <f>'r-in'!AE291</f>
        <v>0.3387550513104326</v>
      </c>
      <c r="S337" s="157">
        <f>'r-in'!AF291</f>
        <v>4.5713413117562824</v>
      </c>
      <c r="T337" s="157">
        <f>'r-in'!AG291</f>
        <v>1.4615154711069165E-2</v>
      </c>
      <c r="U337" s="157">
        <f>'r-in'!AH291</f>
        <v>4.572945771613397</v>
      </c>
      <c r="V337" s="157">
        <f>'r-in'!AI291</f>
        <v>1.5357056359179576E-2</v>
      </c>
      <c r="W337" s="158">
        <v>250</v>
      </c>
      <c r="X337" s="764">
        <f t="shared" si="123"/>
        <v>0.88332457478732629</v>
      </c>
      <c r="Y337" s="387">
        <f t="shared" si="125"/>
        <v>4.0393953792359056</v>
      </c>
      <c r="Z337" s="640">
        <f t="shared" si="126"/>
        <v>1.4615154711069165E-2</v>
      </c>
      <c r="AA337" s="473">
        <f t="shared" si="128"/>
        <v>-3.725396661510505</v>
      </c>
      <c r="AB337" s="478">
        <f t="shared" si="129"/>
        <v>0.14560707462496492</v>
      </c>
      <c r="AC337" s="108">
        <v>1</v>
      </c>
      <c r="AD337" s="159">
        <f t="shared" si="124"/>
        <v>0.71534391534391539</v>
      </c>
      <c r="AE337" s="160">
        <v>90</v>
      </c>
      <c r="AF337" s="160">
        <v>14</v>
      </c>
      <c r="AG337" s="160">
        <v>2.1</v>
      </c>
      <c r="AH337" s="303">
        <f t="shared" si="127"/>
        <v>23.845864137075456</v>
      </c>
      <c r="AI337" s="86">
        <f t="shared" si="130"/>
        <v>14048.38883913955</v>
      </c>
      <c r="AJ337" s="86"/>
      <c r="AK337" s="86"/>
      <c r="AL337" s="86"/>
      <c r="AM337" s="86"/>
      <c r="AN337" s="536"/>
      <c r="AP337" s="53"/>
      <c r="AQ337" s="108"/>
      <c r="AR337" s="110"/>
      <c r="AS337" s="724"/>
      <c r="AT337" s="750"/>
      <c r="AU337" s="750"/>
      <c r="AV337" s="751"/>
      <c r="AW337" s="108"/>
      <c r="AX337" s="724"/>
      <c r="AY337" s="53"/>
      <c r="AZ337" s="108"/>
      <c r="BA337" s="771"/>
      <c r="BB337" s="108"/>
      <c r="BC337" s="724"/>
      <c r="BD337" s="724"/>
      <c r="BE337" s="724"/>
      <c r="BF337" s="634"/>
      <c r="BG337" s="108"/>
      <c r="BH337" s="725"/>
      <c r="BI337" s="725"/>
      <c r="BJ337" s="725"/>
      <c r="BK337" s="725"/>
      <c r="BL337" s="725"/>
      <c r="BM337" s="725"/>
      <c r="BN337" s="475"/>
      <c r="BO337" s="475"/>
      <c r="BP337" s="475"/>
      <c r="BY337" s="14">
        <v>9.9860000000000007</v>
      </c>
    </row>
    <row r="338" spans="1:77" ht="15" customHeight="1" x14ac:dyDescent="0.2">
      <c r="A338" s="782" t="str">
        <f>'r-in'!A292</f>
        <v>259_U</v>
      </c>
      <c r="B338" s="707" t="s">
        <v>926</v>
      </c>
      <c r="C338" s="162">
        <f>'r-in'!P292</f>
        <v>880.55671846424798</v>
      </c>
      <c r="D338" s="162">
        <f>'r-in'!Q292</f>
        <v>19.863952475830118</v>
      </c>
      <c r="E338" s="81">
        <f>'r-in'!R292</f>
        <v>1499407.3575204532</v>
      </c>
      <c r="F338" s="162">
        <f>'r-in'!S292</f>
        <v>0.60964210607948521</v>
      </c>
      <c r="G338" s="81">
        <f>'r-in'!T292</f>
        <v>511.53340023517961</v>
      </c>
      <c r="H338" s="162">
        <f>'r-in'!U292</f>
        <v>31.196070643150108</v>
      </c>
      <c r="I338" s="81">
        <f>'r-in'!V292</f>
        <v>711.79534008053963</v>
      </c>
      <c r="J338" s="162">
        <f>'r-in'!W292</f>
        <v>15.402285945093809</v>
      </c>
      <c r="K338" s="81">
        <f>'r-in'!X292</f>
        <v>6774576.5024390109</v>
      </c>
      <c r="L338" s="162">
        <f>'r-in'!Y292</f>
        <v>0.62009064602760622</v>
      </c>
      <c r="M338" s="81">
        <f>'r-in'!Z292</f>
        <v>437.53659338634913</v>
      </c>
      <c r="N338" s="162">
        <f>'r-in'!AA292</f>
        <v>49.63476608149697</v>
      </c>
      <c r="O338" s="81">
        <f>'r-in'!AB292</f>
        <v>1465816.1612486553</v>
      </c>
      <c r="P338" s="162">
        <f>'r-in'!AC292</f>
        <v>0.62396984824214174</v>
      </c>
      <c r="Q338" s="81">
        <f>'r-in'!AD292</f>
        <v>6703352.0283512659</v>
      </c>
      <c r="R338" s="162">
        <f>'r-in'!AE292</f>
        <v>0.62675451080790046</v>
      </c>
      <c r="S338" s="157">
        <f>'r-in'!AF292</f>
        <v>4.5707863209195585</v>
      </c>
      <c r="T338" s="157">
        <f>'r-in'!AG292</f>
        <v>1.5563792280576659E-2</v>
      </c>
      <c r="U338" s="157">
        <f>'r-in'!AH292</f>
        <v>4.5730568276067274</v>
      </c>
      <c r="V338" s="157">
        <f>'r-in'!AI292</f>
        <v>1.5854838638868093E-2</v>
      </c>
      <c r="W338" s="158">
        <v>259</v>
      </c>
      <c r="X338" s="764">
        <f t="shared" si="123"/>
        <v>0.88341574480090435</v>
      </c>
      <c r="Y338" s="387">
        <f t="shared" si="125"/>
        <v>4.0399104033770579</v>
      </c>
      <c r="Z338" s="640">
        <f t="shared" si="126"/>
        <v>1.5563792280576659E-2</v>
      </c>
      <c r="AA338" s="473">
        <f t="shared" si="128"/>
        <v>-3.598371346144269</v>
      </c>
      <c r="AB338" s="478">
        <f t="shared" si="129"/>
        <v>0.15507787976398735</v>
      </c>
      <c r="AC338" s="108">
        <v>1</v>
      </c>
      <c r="AD338" s="159">
        <f t="shared" si="124"/>
        <v>0.71534391534391539</v>
      </c>
      <c r="AE338" s="160">
        <v>90</v>
      </c>
      <c r="AF338" s="160">
        <v>14</v>
      </c>
      <c r="AG338" s="160">
        <v>2.1</v>
      </c>
      <c r="AH338" s="303">
        <f t="shared" si="127"/>
        <v>23.126726035880502</v>
      </c>
      <c r="AI338" s="86">
        <f t="shared" si="130"/>
        <v>15320.666041827821</v>
      </c>
      <c r="AJ338" s="86"/>
      <c r="AK338" s="86"/>
      <c r="AL338" s="775"/>
      <c r="AM338" s="775"/>
      <c r="AN338" s="536"/>
      <c r="AP338" s="53"/>
      <c r="AQ338" s="108"/>
      <c r="AR338" s="108"/>
      <c r="AS338" s="724"/>
      <c r="AT338" s="724"/>
      <c r="AU338" s="724"/>
      <c r="AV338" s="634"/>
      <c r="AW338" s="108"/>
      <c r="AX338" s="725"/>
      <c r="AY338" s="53"/>
      <c r="AZ338" s="108"/>
      <c r="BA338" s="771"/>
      <c r="BB338" s="108"/>
      <c r="BC338" s="724"/>
      <c r="BD338" s="724"/>
      <c r="BE338" s="724"/>
      <c r="BF338" s="634"/>
      <c r="BG338" s="108"/>
      <c r="BH338" s="725"/>
      <c r="BI338" s="725"/>
      <c r="BJ338" s="725"/>
      <c r="BK338" s="725"/>
      <c r="BL338" s="634"/>
      <c r="BM338" s="724"/>
      <c r="BN338" s="475"/>
      <c r="BO338" s="475"/>
      <c r="BP338" s="10"/>
      <c r="BY338" s="14">
        <v>9.9860000000000007</v>
      </c>
    </row>
    <row r="339" spans="1:77" s="437" customFormat="1" ht="15" customHeight="1" x14ac:dyDescent="0.15">
      <c r="A339" s="783" t="str">
        <f>'r-in'!A293</f>
        <v>260_U</v>
      </c>
      <c r="B339" s="258" t="s">
        <v>927</v>
      </c>
      <c r="C339" s="567">
        <f>'r-in'!P293</f>
        <v>234.1890809731143</v>
      </c>
      <c r="D339" s="567">
        <f>'r-in'!Q293</f>
        <v>75.572212374877907</v>
      </c>
      <c r="E339" s="568">
        <f>'r-in'!R293</f>
        <v>2302345.8295131922</v>
      </c>
      <c r="F339" s="567">
        <f>'r-in'!S293</f>
        <v>0.58895680520648364</v>
      </c>
      <c r="G339" s="568">
        <f>'r-in'!T293</f>
        <v>1200.29780183501</v>
      </c>
      <c r="H339" s="567">
        <f>'r-in'!U293</f>
        <v>53.310410604871635</v>
      </c>
      <c r="I339" s="568">
        <f>'r-in'!V293</f>
        <v>676.00896428999374</v>
      </c>
      <c r="J339" s="567">
        <f>'r-in'!W293</f>
        <v>43.652030885707369</v>
      </c>
      <c r="K339" s="568">
        <f>'r-in'!X293</f>
        <v>10459733.027549986</v>
      </c>
      <c r="L339" s="567">
        <f>'r-in'!Y293</f>
        <v>0.59334364169994214</v>
      </c>
      <c r="M339" s="568">
        <f>'r-in'!Z293</f>
        <v>121.62693468702933</v>
      </c>
      <c r="N339" s="567">
        <f>'r-in'!AA293</f>
        <v>168.23355485632015</v>
      </c>
      <c r="O339" s="568">
        <f>'r-in'!AB293</f>
        <v>2268537.9811911313</v>
      </c>
      <c r="P339" s="567">
        <f>'r-in'!AC293</f>
        <v>0.59941779231250425</v>
      </c>
      <c r="Q339" s="568">
        <f>'r-in'!AD293</f>
        <v>10388505.751208313</v>
      </c>
      <c r="R339" s="567">
        <f>'r-in'!AE293</f>
        <v>0.59766444824489251</v>
      </c>
      <c r="S339" s="588">
        <f>'r-in'!AF293</f>
        <v>4.5775679666371332</v>
      </c>
      <c r="T339" s="588">
        <f>'r-in'!AG293</f>
        <v>1.2278123018438881E-2</v>
      </c>
      <c r="U339" s="588">
        <f>'r-in'!AH293</f>
        <v>4.5794257192398424</v>
      </c>
      <c r="V339" s="588">
        <f>'r-in'!AI293</f>
        <v>1.6941834010612163E-2</v>
      </c>
      <c r="W339" s="569">
        <v>260</v>
      </c>
      <c r="X339" s="776">
        <f t="shared" si="123"/>
        <v>0.88342689685617903</v>
      </c>
      <c r="Y339" s="610">
        <f t="shared" si="125"/>
        <v>4.0455878525314297</v>
      </c>
      <c r="Z339" s="639">
        <f t="shared" si="126"/>
        <v>1.2278123018438881E-2</v>
      </c>
      <c r="AA339" s="666">
        <f t="shared" si="128"/>
        <v>-2.1980879192429192</v>
      </c>
      <c r="AB339" s="667">
        <f t="shared" si="129"/>
        <v>0.12251134624563509</v>
      </c>
      <c r="AC339" s="570">
        <v>1</v>
      </c>
      <c r="AD339" s="787">
        <f t="shared" si="124"/>
        <v>1.0300952380952382</v>
      </c>
      <c r="AE339" s="571">
        <v>75</v>
      </c>
      <c r="AF339" s="571">
        <v>14</v>
      </c>
      <c r="AG339" s="571">
        <v>2.1</v>
      </c>
      <c r="AH339" s="572">
        <f t="shared" si="127"/>
        <v>51.669312541048875</v>
      </c>
      <c r="AI339" s="742">
        <f t="shared" si="130"/>
        <v>85412.871564510249</v>
      </c>
      <c r="AJ339" s="742"/>
      <c r="AK339" s="742"/>
      <c r="AL339" s="788">
        <f>AGaverage(AA339:AA353)</f>
        <v>-2.4573992874691313</v>
      </c>
      <c r="AM339" s="788">
        <f>STDEV(AA339:AA353)/(COUNT(AA339:AA353)-1)^0.5</f>
        <v>6.9195611734111442E-2</v>
      </c>
      <c r="AN339" s="573"/>
      <c r="AP339" s="240"/>
      <c r="AQ339" s="570"/>
      <c r="AR339" s="241"/>
      <c r="AS339" s="723"/>
      <c r="AT339" s="777"/>
      <c r="AU339" s="777"/>
      <c r="AV339" s="778"/>
      <c r="AW339" s="570"/>
      <c r="AX339" s="723"/>
      <c r="AY339" s="240"/>
      <c r="AZ339" s="570"/>
      <c r="BA339" s="770"/>
      <c r="BB339" s="570"/>
      <c r="BC339" s="723"/>
      <c r="BD339" s="723"/>
      <c r="BE339" s="723"/>
      <c r="BF339" s="624"/>
      <c r="BG339" s="570"/>
      <c r="BH339" s="769"/>
      <c r="BI339" s="769"/>
      <c r="BJ339" s="769"/>
      <c r="BK339" s="769"/>
      <c r="BL339" s="769"/>
      <c r="BM339" s="769"/>
      <c r="BN339" s="574"/>
      <c r="BO339" s="574"/>
      <c r="BP339" s="574"/>
      <c r="BY339" s="437">
        <v>9.9860000000000007</v>
      </c>
    </row>
    <row r="340" spans="1:77" ht="15" customHeight="1" x14ac:dyDescent="0.15">
      <c r="A340" s="782" t="str">
        <f>'r-in'!A294</f>
        <v>261_U</v>
      </c>
      <c r="B340" s="258" t="s">
        <v>927</v>
      </c>
      <c r="C340" s="162">
        <f>'r-in'!P294</f>
        <v>307.2349397773886</v>
      </c>
      <c r="D340" s="162">
        <f>'r-in'!Q294</f>
        <v>59.168678715722862</v>
      </c>
      <c r="E340" s="81">
        <f>'r-in'!R294</f>
        <v>2333904.0295185549</v>
      </c>
      <c r="F340" s="162">
        <f>'r-in'!S294</f>
        <v>0.62778683712605143</v>
      </c>
      <c r="G340" s="81">
        <f>'r-in'!T294</f>
        <v>-105.83306440428932</v>
      </c>
      <c r="H340" s="162">
        <f>'r-in'!U294</f>
        <v>-560.32154230473918</v>
      </c>
      <c r="I340" s="81">
        <f>'r-in'!V294</f>
        <v>118.33108923904565</v>
      </c>
      <c r="J340" s="162">
        <f>'r-in'!W294</f>
        <v>223.76053360646324</v>
      </c>
      <c r="K340" s="81">
        <f>'r-in'!X294</f>
        <v>10597162.900585722</v>
      </c>
      <c r="L340" s="162">
        <f>'r-in'!Y294</f>
        <v>0.62885488400791612</v>
      </c>
      <c r="M340" s="81">
        <f>'r-in'!Z294</f>
        <v>-375.22482482138469</v>
      </c>
      <c r="N340" s="162">
        <f>'r-in'!AA294</f>
        <v>-72.431722476526133</v>
      </c>
      <c r="O340" s="81">
        <f>'r-in'!AB294</f>
        <v>2300615.3725621859</v>
      </c>
      <c r="P340" s="162">
        <f>'r-in'!AC294</f>
        <v>0.63593962596608511</v>
      </c>
      <c r="Q340" s="81">
        <f>'r-in'!AD294</f>
        <v>10525585.851712666</v>
      </c>
      <c r="R340" s="162">
        <f>'r-in'!AE294</f>
        <v>0.63294823505821296</v>
      </c>
      <c r="S340" s="157">
        <f>'r-in'!AF294</f>
        <v>4.5754948275831406</v>
      </c>
      <c r="T340" s="157">
        <f>'r-in'!AG294</f>
        <v>1.0365867037272502E-2</v>
      </c>
      <c r="U340" s="157">
        <f>'r-in'!AH294</f>
        <v>4.5751907866707588</v>
      </c>
      <c r="V340" s="157">
        <f>'r-in'!AI294</f>
        <v>1.3023986141742522E-2</v>
      </c>
      <c r="W340" s="158">
        <v>261</v>
      </c>
      <c r="X340" s="764">
        <f t="shared" si="123"/>
        <v>0.88343828976989713</v>
      </c>
      <c r="Y340" s="387">
        <f t="shared" si="125"/>
        <v>4.0418987239474058</v>
      </c>
      <c r="Z340" s="640">
        <f t="shared" si="126"/>
        <v>1.0365867037272502E-2</v>
      </c>
      <c r="AA340" s="473">
        <f t="shared" si="128"/>
        <v>-3.1079728826227671</v>
      </c>
      <c r="AB340" s="478">
        <f t="shared" si="129"/>
        <v>0.10333650203631084</v>
      </c>
      <c r="AC340" s="108">
        <v>1</v>
      </c>
      <c r="AD340" s="159">
        <f t="shared" si="124"/>
        <v>1.0300952380952382</v>
      </c>
      <c r="AE340" s="160">
        <v>75</v>
      </c>
      <c r="AF340" s="160">
        <v>14</v>
      </c>
      <c r="AG340" s="160">
        <v>2.1</v>
      </c>
      <c r="AH340" s="303">
        <f t="shared" si="127"/>
        <v>52.411688359626531</v>
      </c>
      <c r="AI340" s="86">
        <f t="shared" si="130"/>
        <v>-28051.411195202978</v>
      </c>
      <c r="AJ340" s="86"/>
      <c r="AK340" s="86"/>
      <c r="AL340" s="775"/>
      <c r="AM340" s="775"/>
      <c r="AN340" s="536"/>
      <c r="AP340" s="53"/>
      <c r="AQ340" s="108"/>
      <c r="AR340" s="108"/>
      <c r="AS340" s="724"/>
      <c r="AT340" s="724"/>
      <c r="AU340" s="724"/>
      <c r="AV340" s="634"/>
      <c r="AW340" s="108"/>
      <c r="AX340" s="725"/>
      <c r="AY340" s="53"/>
      <c r="AZ340" s="108"/>
      <c r="BA340" s="771"/>
      <c r="BB340" s="108"/>
      <c r="BC340" s="724"/>
      <c r="BD340" s="724"/>
      <c r="BE340" s="724"/>
      <c r="BF340" s="634"/>
      <c r="BG340" s="108"/>
      <c r="BH340" s="725"/>
      <c r="BI340" s="725"/>
      <c r="BJ340" s="725"/>
      <c r="BK340" s="725"/>
      <c r="BL340" s="634"/>
      <c r="BM340" s="724"/>
      <c r="BN340" s="475"/>
      <c r="BO340" s="475"/>
      <c r="BP340" s="10"/>
      <c r="BY340" s="14">
        <v>9.9860000000000007</v>
      </c>
    </row>
    <row r="341" spans="1:77" ht="15" customHeight="1" x14ac:dyDescent="0.15">
      <c r="A341" s="782" t="str">
        <f>'r-in'!A295</f>
        <v>262_U</v>
      </c>
      <c r="B341" s="258" t="s">
        <v>927</v>
      </c>
      <c r="C341" s="162">
        <f>'r-in'!P295</f>
        <v>237.89456570413446</v>
      </c>
      <c r="D341" s="162">
        <f>'r-in'!Q295</f>
        <v>92.088409213875025</v>
      </c>
      <c r="E341" s="81">
        <f>'r-in'!R295</f>
        <v>2396885.170485605</v>
      </c>
      <c r="F341" s="162">
        <f>'r-in'!S295</f>
        <v>0.65683446018145009</v>
      </c>
      <c r="G341" s="81">
        <f>'r-in'!T295</f>
        <v>502.20495489764846</v>
      </c>
      <c r="H341" s="162">
        <f>'r-in'!U295</f>
        <v>110.0149330616853</v>
      </c>
      <c r="I341" s="81">
        <f>'r-in'!V295</f>
        <v>358.76873109696567</v>
      </c>
      <c r="J341" s="162">
        <f>'r-in'!W295</f>
        <v>71.386366988670162</v>
      </c>
      <c r="K341" s="81">
        <f>'r-in'!X295</f>
        <v>10891629.643865611</v>
      </c>
      <c r="L341" s="162">
        <f>'r-in'!Y295</f>
        <v>0.6613290071614305</v>
      </c>
      <c r="M341" s="81">
        <f>'r-in'!Z295</f>
        <v>454.60087036528193</v>
      </c>
      <c r="N341" s="162">
        <f>'r-in'!AA295</f>
        <v>58.980687478464453</v>
      </c>
      <c r="O341" s="81">
        <f>'r-in'!AB295</f>
        <v>2363121.1604822632</v>
      </c>
      <c r="P341" s="162">
        <f>'r-in'!AC295</f>
        <v>0.66496198166286435</v>
      </c>
      <c r="Q341" s="81">
        <f>'r-in'!AD295</f>
        <v>10819519.604779586</v>
      </c>
      <c r="R341" s="162">
        <f>'r-in'!AE295</f>
        <v>0.66608828499819062</v>
      </c>
      <c r="S341" s="157">
        <f>'r-in'!AF295</f>
        <v>4.5780591333451275</v>
      </c>
      <c r="T341" s="157">
        <f>'r-in'!AG295</f>
        <v>8.9919207078213142E-3</v>
      </c>
      <c r="U341" s="157">
        <f>'r-in'!AH295</f>
        <v>4.5784611894042122</v>
      </c>
      <c r="V341" s="157">
        <f>'r-in'!AI295</f>
        <v>1.1598760619976233E-2</v>
      </c>
      <c r="W341" s="158">
        <v>262</v>
      </c>
      <c r="X341" s="764">
        <f t="shared" si="123"/>
        <v>0.88344993384039294</v>
      </c>
      <c r="Y341" s="387">
        <f t="shared" si="125"/>
        <v>4.0448412348699581</v>
      </c>
      <c r="Z341" s="640">
        <f t="shared" si="126"/>
        <v>8.9919207078213142E-3</v>
      </c>
      <c r="AA341" s="473">
        <f t="shared" si="128"/>
        <v>-2.3822333530748585</v>
      </c>
      <c r="AB341" s="478">
        <f t="shared" si="129"/>
        <v>8.9704998543993497E-2</v>
      </c>
      <c r="AC341" s="108">
        <v>1</v>
      </c>
      <c r="AD341" s="159">
        <f t="shared" si="124"/>
        <v>1.0300952380952382</v>
      </c>
      <c r="AE341" s="160">
        <v>75</v>
      </c>
      <c r="AF341" s="160">
        <v>14</v>
      </c>
      <c r="AG341" s="160">
        <v>2.1</v>
      </c>
      <c r="AH341" s="303">
        <f t="shared" si="127"/>
        <v>53.938582236482851</v>
      </c>
      <c r="AI341" s="86">
        <f t="shared" si="130"/>
        <v>23800.041553122988</v>
      </c>
      <c r="AJ341" s="86"/>
      <c r="AK341" s="86"/>
      <c r="AL341" s="86"/>
      <c r="AM341" s="86"/>
      <c r="AN341" s="536"/>
      <c r="AP341" s="53"/>
      <c r="AQ341" s="108"/>
      <c r="AR341" s="110"/>
      <c r="AS341" s="724"/>
      <c r="AT341" s="750"/>
      <c r="AU341" s="750"/>
      <c r="AV341" s="751"/>
      <c r="AW341" s="108"/>
      <c r="AX341" s="724"/>
      <c r="AY341" s="53"/>
      <c r="AZ341" s="108"/>
      <c r="BA341" s="771"/>
      <c r="BB341" s="108"/>
      <c r="BC341" s="724"/>
      <c r="BD341" s="724"/>
      <c r="BE341" s="724"/>
      <c r="BF341" s="634"/>
      <c r="BG341" s="108"/>
      <c r="BH341" s="725"/>
      <c r="BI341" s="725"/>
      <c r="BJ341" s="725"/>
      <c r="BK341" s="725"/>
      <c r="BL341" s="725"/>
      <c r="BM341" s="725"/>
      <c r="BN341" s="475"/>
      <c r="BO341" s="475"/>
      <c r="BP341" s="475"/>
      <c r="BY341" s="14">
        <v>9.9860000000000007</v>
      </c>
    </row>
    <row r="342" spans="1:77" ht="15" customHeight="1" x14ac:dyDescent="0.15">
      <c r="A342" s="782" t="str">
        <f>'r-in'!A296</f>
        <v>263_U</v>
      </c>
      <c r="B342" s="258" t="s">
        <v>927</v>
      </c>
      <c r="C342" s="162">
        <f>'r-in'!P296</f>
        <v>-84.752261895916448</v>
      </c>
      <c r="D342" s="162">
        <f>'r-in'!Q296</f>
        <v>-207.39763554169926</v>
      </c>
      <c r="E342" s="81">
        <f>'r-in'!R296</f>
        <v>2452156.1060839659</v>
      </c>
      <c r="F342" s="162">
        <f>'r-in'!S296</f>
        <v>0.70974154659807487</v>
      </c>
      <c r="G342" s="81">
        <f>'r-in'!T296</f>
        <v>478.25355697790457</v>
      </c>
      <c r="H342" s="162">
        <f>'r-in'!U296</f>
        <v>112.96362249506116</v>
      </c>
      <c r="I342" s="81">
        <f>'r-in'!V296</f>
        <v>172.72100154760219</v>
      </c>
      <c r="J342" s="162">
        <f>'r-in'!W296</f>
        <v>150.95521279084227</v>
      </c>
      <c r="K342" s="81">
        <f>'r-in'!X296</f>
        <v>11143607.310223363</v>
      </c>
      <c r="L342" s="162">
        <f>'r-in'!Y296</f>
        <v>0.71630992023243722</v>
      </c>
      <c r="M342" s="81">
        <f>'r-in'!Z296</f>
        <v>336.48117429741927</v>
      </c>
      <c r="N342" s="162">
        <f>'r-in'!AA296</f>
        <v>86.823489253052031</v>
      </c>
      <c r="O342" s="81">
        <f>'r-in'!AB296</f>
        <v>2418667.3304058691</v>
      </c>
      <c r="P342" s="162">
        <f>'r-in'!AC296</f>
        <v>0.72091956003968993</v>
      </c>
      <c r="Q342" s="81">
        <f>'r-in'!AD296</f>
        <v>11072217.883144338</v>
      </c>
      <c r="R342" s="162">
        <f>'r-in'!AE296</f>
        <v>0.72043106722749517</v>
      </c>
      <c r="S342" s="157">
        <f>'r-in'!AF296</f>
        <v>4.5774305416728849</v>
      </c>
      <c r="T342" s="157">
        <f>'r-in'!AG296</f>
        <v>9.5780733800217635E-3</v>
      </c>
      <c r="U342" s="157">
        <f>'r-in'!AH296</f>
        <v>4.5778302002379609</v>
      </c>
      <c r="V342" s="157">
        <f>'r-in'!AI296</f>
        <v>1.2225821865136814E-2</v>
      </c>
      <c r="W342" s="158">
        <v>263</v>
      </c>
      <c r="X342" s="764">
        <f t="shared" si="123"/>
        <v>0.88346183948553048</v>
      </c>
      <c r="Y342" s="387">
        <f t="shared" si="125"/>
        <v>4.0443382895546431</v>
      </c>
      <c r="Z342" s="640">
        <f t="shared" si="126"/>
        <v>9.5780733800217635E-3</v>
      </c>
      <c r="AA342" s="473">
        <f t="shared" si="128"/>
        <v>-2.5062795524372072</v>
      </c>
      <c r="AB342" s="478">
        <f t="shared" si="129"/>
        <v>9.5540680505545872E-2</v>
      </c>
      <c r="AC342" s="108">
        <v>1</v>
      </c>
      <c r="AD342" s="159">
        <f t="shared" si="124"/>
        <v>1.0300952380952382</v>
      </c>
      <c r="AE342" s="160">
        <v>75</v>
      </c>
      <c r="AF342" s="160">
        <v>14</v>
      </c>
      <c r="AG342" s="160">
        <v>2.1</v>
      </c>
      <c r="AH342" s="303">
        <f t="shared" si="127"/>
        <v>55.264132970516116</v>
      </c>
      <c r="AI342" s="86">
        <f t="shared" si="130"/>
        <v>32905.905973085697</v>
      </c>
      <c r="AJ342" s="86"/>
      <c r="AK342" s="86"/>
      <c r="AL342" s="775"/>
      <c r="AM342" s="775"/>
      <c r="AN342" s="536"/>
      <c r="AP342" s="53"/>
      <c r="AQ342" s="108"/>
      <c r="AR342" s="108"/>
      <c r="AS342" s="724"/>
      <c r="AT342" s="724"/>
      <c r="AU342" s="724"/>
      <c r="AV342" s="634"/>
      <c r="AW342" s="108"/>
      <c r="AX342" s="725"/>
      <c r="AY342" s="53"/>
      <c r="AZ342" s="108"/>
      <c r="BA342" s="771"/>
      <c r="BB342" s="108"/>
      <c r="BC342" s="724"/>
      <c r="BD342" s="724"/>
      <c r="BE342" s="724"/>
      <c r="BF342" s="634"/>
      <c r="BG342" s="108"/>
      <c r="BH342" s="725"/>
      <c r="BI342" s="725"/>
      <c r="BJ342" s="725"/>
      <c r="BK342" s="725"/>
      <c r="BL342" s="634"/>
      <c r="BM342" s="724"/>
      <c r="BN342" s="475"/>
      <c r="BO342" s="475"/>
      <c r="BP342" s="10"/>
      <c r="BY342" s="14">
        <v>9.9860000000000007</v>
      </c>
    </row>
    <row r="343" spans="1:77" ht="15" customHeight="1" x14ac:dyDescent="0.15">
      <c r="A343" s="782" t="str">
        <f>'r-in'!A297</f>
        <v>264_U</v>
      </c>
      <c r="B343" s="258" t="s">
        <v>927</v>
      </c>
      <c r="C343" s="162">
        <f>'r-in'!P297</f>
        <v>146.57364239737467</v>
      </c>
      <c r="D343" s="162">
        <f>'r-in'!Q297</f>
        <v>128.55134287513332</v>
      </c>
      <c r="E343" s="81">
        <f>'r-in'!R297</f>
        <v>2496732.7650142941</v>
      </c>
      <c r="F343" s="162">
        <f>'r-in'!S297</f>
        <v>0.82031552595377255</v>
      </c>
      <c r="G343" s="81">
        <f>'r-in'!T297</f>
        <v>481.94108439264801</v>
      </c>
      <c r="H343" s="162">
        <f>'r-in'!U297</f>
        <v>135.11451026187089</v>
      </c>
      <c r="I343" s="81">
        <f>'r-in'!V297</f>
        <v>299.9435487971877</v>
      </c>
      <c r="J343" s="162">
        <f>'r-in'!W297</f>
        <v>104.84304266530948</v>
      </c>
      <c r="K343" s="81">
        <f>'r-in'!X297</f>
        <v>11349659.607325574</v>
      </c>
      <c r="L343" s="162">
        <f>'r-in'!Y297</f>
        <v>0.82525235667752506</v>
      </c>
      <c r="M343" s="81">
        <f>'r-in'!Z297</f>
        <v>-136.4685536130248</v>
      </c>
      <c r="N343" s="162">
        <f>'r-in'!AA297</f>
        <v>-183.57932548121451</v>
      </c>
      <c r="O343" s="81">
        <f>'r-in'!AB297</f>
        <v>2463108.0928862803</v>
      </c>
      <c r="P343" s="162">
        <f>'r-in'!AC297</f>
        <v>0.83086667180584928</v>
      </c>
      <c r="Q343" s="81">
        <f>'r-in'!AD297</f>
        <v>11278359.222716283</v>
      </c>
      <c r="R343" s="162">
        <f>'r-in'!AE297</f>
        <v>0.83006342752082751</v>
      </c>
      <c r="S343" s="157">
        <f>'r-in'!AF297</f>
        <v>4.5777149212381421</v>
      </c>
      <c r="T343" s="157">
        <f>'r-in'!AG297</f>
        <v>9.3142439298896547E-3</v>
      </c>
      <c r="U343" s="157">
        <f>'r-in'!AH297</f>
        <v>4.5789401139754355</v>
      </c>
      <c r="V343" s="157">
        <f>'r-in'!AI297</f>
        <v>1.3922006001353565E-2</v>
      </c>
      <c r="W343" s="158">
        <v>264</v>
      </c>
      <c r="X343" s="764">
        <f t="shared" si="123"/>
        <v>0.88347401724277841</v>
      </c>
      <c r="Y343" s="387">
        <f t="shared" si="125"/>
        <v>4.0453746172079841</v>
      </c>
      <c r="Z343" s="640">
        <f t="shared" si="126"/>
        <v>9.3142439298896547E-3</v>
      </c>
      <c r="AA343" s="473">
        <f t="shared" si="128"/>
        <v>-2.2506801805440846</v>
      </c>
      <c r="AB343" s="478">
        <f t="shared" si="129"/>
        <v>9.2932805456857892E-2</v>
      </c>
      <c r="AC343" s="108">
        <v>1</v>
      </c>
      <c r="AD343" s="159">
        <f t="shared" si="124"/>
        <v>1.0300952380952382</v>
      </c>
      <c r="AE343" s="160">
        <v>75</v>
      </c>
      <c r="AF343" s="160">
        <v>14</v>
      </c>
      <c r="AG343" s="160">
        <v>2.1</v>
      </c>
      <c r="AH343" s="303">
        <f t="shared" si="127"/>
        <v>56.361101322388997</v>
      </c>
      <c r="AI343" s="86">
        <f t="shared" si="130"/>
        <v>-82644.381611148376</v>
      </c>
      <c r="AJ343" s="86"/>
      <c r="AK343" s="86"/>
      <c r="AL343" s="86"/>
      <c r="AM343" s="86"/>
      <c r="AN343" s="536"/>
      <c r="AP343" s="53"/>
      <c r="AQ343" s="108"/>
      <c r="AR343" s="110"/>
      <c r="AS343" s="724"/>
      <c r="AT343" s="750"/>
      <c r="AU343" s="750"/>
      <c r="AV343" s="751"/>
      <c r="AW343" s="108"/>
      <c r="AX343" s="724"/>
      <c r="AY343" s="53"/>
      <c r="AZ343" s="108"/>
      <c r="BA343" s="771"/>
      <c r="BB343" s="108"/>
      <c r="BC343" s="724"/>
      <c r="BD343" s="724"/>
      <c r="BE343" s="724"/>
      <c r="BF343" s="634"/>
      <c r="BG343" s="108"/>
      <c r="BH343" s="725"/>
      <c r="BI343" s="725"/>
      <c r="BJ343" s="725"/>
      <c r="BK343" s="725"/>
      <c r="BL343" s="725"/>
      <c r="BM343" s="725"/>
      <c r="BN343" s="475"/>
      <c r="BO343" s="475"/>
      <c r="BP343" s="475"/>
      <c r="BY343" s="14">
        <v>9.9860000000000007</v>
      </c>
    </row>
    <row r="344" spans="1:77" ht="15" customHeight="1" x14ac:dyDescent="0.15">
      <c r="A344" s="782" t="str">
        <f>'r-in'!A298</f>
        <v>265_U</v>
      </c>
      <c r="B344" s="258" t="s">
        <v>927</v>
      </c>
      <c r="C344" s="162">
        <f>'r-in'!P298</f>
        <v>258.79579518114951</v>
      </c>
      <c r="D344" s="162">
        <f>'r-in'!Q298</f>
        <v>70.574860302078775</v>
      </c>
      <c r="E344" s="81">
        <f>'r-in'!R298</f>
        <v>2388307.3343044156</v>
      </c>
      <c r="F344" s="162">
        <f>'r-in'!S298</f>
        <v>0.9247765675132068</v>
      </c>
      <c r="G344" s="81">
        <f>'r-in'!T298</f>
        <v>-61.98754345305796</v>
      </c>
      <c r="H344" s="162">
        <f>'r-in'!U298</f>
        <v>-937.93365479308557</v>
      </c>
      <c r="I344" s="81">
        <f>'r-in'!V298</f>
        <v>112.09547648521209</v>
      </c>
      <c r="J344" s="162">
        <f>'r-in'!W298</f>
        <v>247.56328272911389</v>
      </c>
      <c r="K344" s="81">
        <f>'r-in'!X298</f>
        <v>10848990.763454789</v>
      </c>
      <c r="L344" s="162">
        <f>'r-in'!Y298</f>
        <v>0.93066290502705662</v>
      </c>
      <c r="M344" s="81">
        <f>'r-in'!Z298</f>
        <v>734.69100717247704</v>
      </c>
      <c r="N344" s="162">
        <f>'r-in'!AA298</f>
        <v>28.548256355085417</v>
      </c>
      <c r="O344" s="81">
        <f>'r-in'!AB298</f>
        <v>2354974.1878348049</v>
      </c>
      <c r="P344" s="162">
        <f>'r-in'!AC298</f>
        <v>0.93999364625991988</v>
      </c>
      <c r="Q344" s="81">
        <f>'r-in'!AD298</f>
        <v>10777073.051656386</v>
      </c>
      <c r="R344" s="162">
        <f>'r-in'!AE298</f>
        <v>0.93673574007220073</v>
      </c>
      <c r="S344" s="157">
        <f>'r-in'!AF298</f>
        <v>4.5762719143706931</v>
      </c>
      <c r="T344" s="157">
        <f>'r-in'!AG298</f>
        <v>1.1073927512611572E-2</v>
      </c>
      <c r="U344" s="157">
        <f>'r-in'!AH298</f>
        <v>4.5764121030947296</v>
      </c>
      <c r="V344" s="157">
        <f>'r-in'!AI298</f>
        <v>1.5612652178418814E-2</v>
      </c>
      <c r="W344" s="158">
        <v>265</v>
      </c>
      <c r="X344" s="764">
        <f t="shared" si="123"/>
        <v>0.88348647776929168</v>
      </c>
      <c r="Y344" s="387">
        <f t="shared" si="125"/>
        <v>4.0431982097839194</v>
      </c>
      <c r="Z344" s="640">
        <f t="shared" si="126"/>
        <v>1.1073927512611572E-2</v>
      </c>
      <c r="AA344" s="473">
        <f t="shared" si="128"/>
        <v>-2.7874682984536658</v>
      </c>
      <c r="AB344" s="478">
        <f t="shared" si="129"/>
        <v>0.11043059290727353</v>
      </c>
      <c r="AC344" s="108">
        <v>1</v>
      </c>
      <c r="AD344" s="159">
        <f t="shared" si="124"/>
        <v>1.0300952380952382</v>
      </c>
      <c r="AE344" s="160">
        <v>75</v>
      </c>
      <c r="AF344" s="160">
        <v>14</v>
      </c>
      <c r="AG344" s="160">
        <v>2.1</v>
      </c>
      <c r="AH344" s="303">
        <f t="shared" si="127"/>
        <v>53.922114850969997</v>
      </c>
      <c r="AI344" s="86">
        <f t="shared" si="130"/>
        <v>14668.851185660893</v>
      </c>
      <c r="AJ344" s="86"/>
      <c r="AK344" s="86"/>
      <c r="AL344" s="775"/>
      <c r="AM344" s="775"/>
      <c r="AN344" s="536"/>
      <c r="AP344" s="53"/>
      <c r="AQ344" s="108"/>
      <c r="AR344" s="108"/>
      <c r="AS344" s="724"/>
      <c r="AT344" s="724"/>
      <c r="AU344" s="724"/>
      <c r="AV344" s="634"/>
      <c r="AW344" s="108"/>
      <c r="AX344" s="725"/>
      <c r="AY344" s="53"/>
      <c r="AZ344" s="108"/>
      <c r="BA344" s="771"/>
      <c r="BB344" s="108"/>
      <c r="BC344" s="724"/>
      <c r="BD344" s="724"/>
      <c r="BE344" s="724"/>
      <c r="BF344" s="634"/>
      <c r="BG344" s="108"/>
      <c r="BH344" s="725"/>
      <c r="BI344" s="725"/>
      <c r="BJ344" s="725"/>
      <c r="BK344" s="725"/>
      <c r="BL344" s="634"/>
      <c r="BM344" s="724"/>
      <c r="BN344" s="475"/>
      <c r="BO344" s="475"/>
      <c r="BP344" s="10"/>
      <c r="BY344" s="14">
        <v>9.9860000000000007</v>
      </c>
    </row>
    <row r="345" spans="1:77" ht="15" customHeight="1" x14ac:dyDescent="0.15">
      <c r="A345" s="782" t="str">
        <f>'r-in'!A299</f>
        <v>266_U</v>
      </c>
      <c r="B345" s="258" t="s">
        <v>927</v>
      </c>
      <c r="C345" s="162">
        <f>'r-in'!P299</f>
        <v>398.81036930252253</v>
      </c>
      <c r="D345" s="162">
        <f>'r-in'!Q299</f>
        <v>50.820828427849939</v>
      </c>
      <c r="E345" s="81">
        <f>'r-in'!R299</f>
        <v>2425364.6519013965</v>
      </c>
      <c r="F345" s="162">
        <f>'r-in'!S299</f>
        <v>1.0386956466430544</v>
      </c>
      <c r="G345" s="81">
        <f>'r-in'!T299</f>
        <v>-66.825908446927954</v>
      </c>
      <c r="H345" s="162">
        <f>'r-in'!U299</f>
        <v>-882.53013879001924</v>
      </c>
      <c r="I345" s="81">
        <f>'r-in'!V299</f>
        <v>185.86604796378924</v>
      </c>
      <c r="J345" s="162">
        <f>'r-in'!W299</f>
        <v>146.85697347694671</v>
      </c>
      <c r="K345" s="81">
        <f>'r-in'!X299</f>
        <v>11019939.953148929</v>
      </c>
      <c r="L345" s="162">
        <f>'r-in'!Y299</f>
        <v>1.0450667918826266</v>
      </c>
      <c r="M345" s="81">
        <f>'r-in'!Z299</f>
        <v>519.25208331473414</v>
      </c>
      <c r="N345" s="162">
        <f>'r-in'!AA299</f>
        <v>49.977802855234287</v>
      </c>
      <c r="O345" s="81">
        <f>'r-in'!AB299</f>
        <v>2392001.539162369</v>
      </c>
      <c r="P345" s="162">
        <f>'r-in'!AC299</f>
        <v>1.0524977937902693</v>
      </c>
      <c r="Q345" s="81">
        <f>'r-in'!AD299</f>
        <v>10948047.838543398</v>
      </c>
      <c r="R345" s="162">
        <f>'r-in'!AE299</f>
        <v>1.0518006372475475</v>
      </c>
      <c r="S345" s="157">
        <f>'r-in'!AF299</f>
        <v>4.576941475707776</v>
      </c>
      <c r="T345" s="157">
        <f>'r-in'!AG299</f>
        <v>1.0849655469663483E-2</v>
      </c>
      <c r="U345" s="157">
        <f>'r-in'!AH299</f>
        <v>4.5769758786608392</v>
      </c>
      <c r="V345" s="157">
        <f>'r-in'!AI299</f>
        <v>1.5810070068701689E-2</v>
      </c>
      <c r="W345" s="158">
        <v>266</v>
      </c>
      <c r="X345" s="764">
        <f t="shared" si="123"/>
        <v>0.88349923184199131</v>
      </c>
      <c r="Y345" s="387">
        <f t="shared" si="125"/>
        <v>4.0437546729561751</v>
      </c>
      <c r="Z345" s="640">
        <f t="shared" si="126"/>
        <v>1.0849655469663483E-2</v>
      </c>
      <c r="AA345" s="473">
        <f t="shared" si="128"/>
        <v>-2.6502224796707274</v>
      </c>
      <c r="AB345" s="478">
        <f t="shared" si="129"/>
        <v>0.10820901468844291</v>
      </c>
      <c r="AC345" s="108">
        <v>1</v>
      </c>
      <c r="AD345" s="159">
        <f t="shared" si="124"/>
        <v>1.0300952380952382</v>
      </c>
      <c r="AE345" s="160">
        <v>75</v>
      </c>
      <c r="AF345" s="160">
        <v>14</v>
      </c>
      <c r="AG345" s="160">
        <v>2.1</v>
      </c>
      <c r="AH345" s="303">
        <f t="shared" si="127"/>
        <v>54.84577314556158</v>
      </c>
      <c r="AI345" s="86">
        <f t="shared" si="130"/>
        <v>21084.263675274386</v>
      </c>
      <c r="AJ345" s="86"/>
      <c r="AK345" s="86"/>
      <c r="AL345" s="86"/>
      <c r="AM345" s="86"/>
      <c r="AN345" s="536"/>
      <c r="AP345" s="53"/>
      <c r="AQ345" s="108"/>
      <c r="AR345" s="110"/>
      <c r="AS345" s="724"/>
      <c r="AT345" s="750"/>
      <c r="AU345" s="750"/>
      <c r="AV345" s="751"/>
      <c r="AW345" s="108"/>
      <c r="AX345" s="724"/>
      <c r="AY345" s="53"/>
      <c r="AZ345" s="108"/>
      <c r="BA345" s="771"/>
      <c r="BB345" s="108"/>
      <c r="BC345" s="724"/>
      <c r="BD345" s="724"/>
      <c r="BE345" s="724"/>
      <c r="BF345" s="634"/>
      <c r="BG345" s="108"/>
      <c r="BH345" s="725"/>
      <c r="BI345" s="725"/>
      <c r="BJ345" s="725"/>
      <c r="BK345" s="725"/>
      <c r="BL345" s="725"/>
      <c r="BM345" s="725"/>
      <c r="BN345" s="475"/>
      <c r="BO345" s="475"/>
      <c r="BP345" s="475"/>
      <c r="BY345" s="14">
        <v>9.9860000000000007</v>
      </c>
    </row>
    <row r="346" spans="1:77" ht="15" customHeight="1" x14ac:dyDescent="0.15">
      <c r="A346" s="782" t="str">
        <f>'r-in'!A300</f>
        <v>267_U</v>
      </c>
      <c r="B346" s="258" t="s">
        <v>927</v>
      </c>
      <c r="C346" s="162">
        <f>'r-in'!P300</f>
        <v>505.26247403747323</v>
      </c>
      <c r="D346" s="162">
        <f>'r-in'!Q300</f>
        <v>39.824649506580457</v>
      </c>
      <c r="E346" s="81">
        <f>'r-in'!R300</f>
        <v>2443094.0165975988</v>
      </c>
      <c r="F346" s="162">
        <f>'r-in'!S300</f>
        <v>0.9203172364763359</v>
      </c>
      <c r="G346" s="81">
        <f>'r-in'!T300</f>
        <v>769.04783749914156</v>
      </c>
      <c r="H346" s="162">
        <f>'r-in'!U300</f>
        <v>81.399539227712822</v>
      </c>
      <c r="I346" s="81">
        <f>'r-in'!V300</f>
        <v>625.89653518264208</v>
      </c>
      <c r="J346" s="162">
        <f>'r-in'!W300</f>
        <v>48.072753807825933</v>
      </c>
      <c r="K346" s="81">
        <f>'r-in'!X300</f>
        <v>11100914.784546003</v>
      </c>
      <c r="L346" s="162">
        <f>'r-in'!Y300</f>
        <v>0.92746130822352368</v>
      </c>
      <c r="M346" s="81">
        <f>'r-in'!Z300</f>
        <v>852.68723722057746</v>
      </c>
      <c r="N346" s="162">
        <f>'r-in'!AA300</f>
        <v>25.602702610873603</v>
      </c>
      <c r="O346" s="81">
        <f>'r-in'!AB300</f>
        <v>2409246.3212397592</v>
      </c>
      <c r="P346" s="162">
        <f>'r-in'!AC300</f>
        <v>0.93295138996089455</v>
      </c>
      <c r="Q346" s="81">
        <f>'r-in'!AD300</f>
        <v>11028184.171764009</v>
      </c>
      <c r="R346" s="162">
        <f>'r-in'!AE300</f>
        <v>0.93364803351505499</v>
      </c>
      <c r="S346" s="157">
        <f>'r-in'!AF300</f>
        <v>4.5768045829350186</v>
      </c>
      <c r="T346" s="157">
        <f>'r-in'!AG300</f>
        <v>1.1388775914933584E-2</v>
      </c>
      <c r="U346" s="157">
        <f>'r-in'!AH300</f>
        <v>4.57743314996892</v>
      </c>
      <c r="V346" s="157">
        <f>'r-in'!AI300</f>
        <v>1.6728377967266193E-2</v>
      </c>
      <c r="W346" s="158">
        <v>267</v>
      </c>
      <c r="X346" s="764">
        <f t="shared" si="123"/>
        <v>0.88351229035765566</v>
      </c>
      <c r="Y346" s="387">
        <f t="shared" si="125"/>
        <v>4.0442184462880988</v>
      </c>
      <c r="Z346" s="640">
        <f t="shared" si="126"/>
        <v>1.1388775914933584E-2</v>
      </c>
      <c r="AA346" s="473">
        <f t="shared" si="128"/>
        <v>-2.5358376401285465</v>
      </c>
      <c r="AB346" s="478">
        <f t="shared" si="129"/>
        <v>0.11359895828300104</v>
      </c>
      <c r="AC346" s="108">
        <v>1</v>
      </c>
      <c r="AD346" s="159">
        <f t="shared" si="124"/>
        <v>1.0300952380952382</v>
      </c>
      <c r="AE346" s="160">
        <v>75</v>
      </c>
      <c r="AF346" s="160">
        <v>14</v>
      </c>
      <c r="AG346" s="160">
        <v>2.1</v>
      </c>
      <c r="AH346" s="303">
        <f t="shared" si="127"/>
        <v>55.317026724804251</v>
      </c>
      <c r="AI346" s="86">
        <f t="shared" si="130"/>
        <v>12933.445805652633</v>
      </c>
      <c r="AJ346" s="86"/>
      <c r="AK346" s="86"/>
      <c r="AL346" s="775"/>
      <c r="AM346" s="775"/>
      <c r="AN346" s="536"/>
      <c r="AP346" s="53"/>
      <c r="AQ346" s="108"/>
      <c r="AR346" s="108"/>
      <c r="AS346" s="724"/>
      <c r="AT346" s="724"/>
      <c r="AU346" s="724"/>
      <c r="AV346" s="634"/>
      <c r="AW346" s="108"/>
      <c r="AX346" s="725"/>
      <c r="AY346" s="53"/>
      <c r="AZ346" s="108"/>
      <c r="BA346" s="771"/>
      <c r="BB346" s="108"/>
      <c r="BC346" s="724"/>
      <c r="BD346" s="724"/>
      <c r="BE346" s="724"/>
      <c r="BF346" s="634"/>
      <c r="BG346" s="108"/>
      <c r="BH346" s="725"/>
      <c r="BI346" s="725"/>
      <c r="BJ346" s="725"/>
      <c r="BK346" s="725"/>
      <c r="BL346" s="634"/>
      <c r="BM346" s="724"/>
      <c r="BN346" s="475"/>
      <c r="BO346" s="475"/>
      <c r="BP346" s="10"/>
      <c r="BY346" s="14">
        <v>9.9860000000000007</v>
      </c>
    </row>
    <row r="347" spans="1:77" ht="15" customHeight="1" x14ac:dyDescent="0.15">
      <c r="A347" s="782" t="str">
        <f>'r-in'!A301</f>
        <v>268_U</v>
      </c>
      <c r="B347" s="258" t="s">
        <v>927</v>
      </c>
      <c r="C347" s="162">
        <f>'r-in'!P301</f>
        <v>271.91640561886697</v>
      </c>
      <c r="D347" s="162">
        <f>'r-in'!Q301</f>
        <v>77.121724009280712</v>
      </c>
      <c r="E347" s="81">
        <f>'r-in'!R301</f>
        <v>2397546.4060498965</v>
      </c>
      <c r="F347" s="162">
        <f>'r-in'!S301</f>
        <v>0.78930860718671203</v>
      </c>
      <c r="G347" s="81">
        <f>'r-in'!T301</f>
        <v>434.93118651963363</v>
      </c>
      <c r="H347" s="162">
        <f>'r-in'!U301</f>
        <v>143.37667182553872</v>
      </c>
      <c r="I347" s="81">
        <f>'r-in'!V301</f>
        <v>346.46616375814671</v>
      </c>
      <c r="J347" s="162">
        <f>'r-in'!W301</f>
        <v>84.027456595704223</v>
      </c>
      <c r="K347" s="81">
        <f>'r-in'!X301</f>
        <v>10895844.965770353</v>
      </c>
      <c r="L347" s="162">
        <f>'r-in'!Y301</f>
        <v>0.79701910210983873</v>
      </c>
      <c r="M347" s="81">
        <f>'r-in'!Z301</f>
        <v>860.99987829455154</v>
      </c>
      <c r="N347" s="162">
        <f>'r-in'!AA301</f>
        <v>24.94511316802646</v>
      </c>
      <c r="O347" s="81">
        <f>'r-in'!AB301</f>
        <v>2363966.761420988</v>
      </c>
      <c r="P347" s="162">
        <f>'r-in'!AC301</f>
        <v>0.80148889330699491</v>
      </c>
      <c r="Q347" s="81">
        <f>'r-in'!AD301</f>
        <v>10823367.528941203</v>
      </c>
      <c r="R347" s="162">
        <f>'r-in'!AE301</f>
        <v>0.8021236566323271</v>
      </c>
      <c r="S347" s="157">
        <f>'r-in'!AF301</f>
        <v>4.5779108684874155</v>
      </c>
      <c r="T347" s="157">
        <f>'r-in'!AG301</f>
        <v>9.7644205094696308E-3</v>
      </c>
      <c r="U347" s="157">
        <f>'r-in'!AH301</f>
        <v>4.5784680661255761</v>
      </c>
      <c r="V347" s="157">
        <f>'r-in'!AI301</f>
        <v>1.2315852816506925E-2</v>
      </c>
      <c r="W347" s="158">
        <v>268</v>
      </c>
      <c r="X347" s="764">
        <f t="shared" si="123"/>
        <v>0.8835256643330075</v>
      </c>
      <c r="Y347" s="387">
        <f t="shared" si="125"/>
        <v>4.0451940397510597</v>
      </c>
      <c r="Z347" s="640">
        <f t="shared" si="126"/>
        <v>9.7644205094696308E-3</v>
      </c>
      <c r="AA347" s="473">
        <f t="shared" si="128"/>
        <v>-2.2952177207893332</v>
      </c>
      <c r="AB347" s="478">
        <f t="shared" si="129"/>
        <v>9.7420090384825464E-2</v>
      </c>
      <c r="AC347" s="108">
        <v>1</v>
      </c>
      <c r="AD347" s="159">
        <f t="shared" si="124"/>
        <v>1.0300952380952382</v>
      </c>
      <c r="AE347" s="160">
        <v>75</v>
      </c>
      <c r="AF347" s="160">
        <v>14</v>
      </c>
      <c r="AG347" s="160">
        <v>2.1</v>
      </c>
      <c r="AH347" s="303">
        <f t="shared" si="127"/>
        <v>54.359272489543038</v>
      </c>
      <c r="AI347" s="86">
        <f t="shared" si="130"/>
        <v>12570.695771037595</v>
      </c>
      <c r="AJ347" s="86"/>
      <c r="AK347" s="86"/>
      <c r="AL347" s="86"/>
      <c r="AM347" s="86"/>
      <c r="AN347" s="536"/>
      <c r="AP347" s="53"/>
      <c r="AQ347" s="108"/>
      <c r="AR347" s="110"/>
      <c r="AS347" s="724"/>
      <c r="AT347" s="750"/>
      <c r="AU347" s="750"/>
      <c r="AV347" s="751"/>
      <c r="AW347" s="108"/>
      <c r="AX347" s="724"/>
      <c r="AY347" s="53"/>
      <c r="AZ347" s="108"/>
      <c r="BA347" s="771"/>
      <c r="BB347" s="108"/>
      <c r="BC347" s="724"/>
      <c r="BD347" s="724"/>
      <c r="BE347" s="724"/>
      <c r="BF347" s="634"/>
      <c r="BG347" s="108"/>
      <c r="BH347" s="725"/>
      <c r="BI347" s="725"/>
      <c r="BJ347" s="725"/>
      <c r="BK347" s="725"/>
      <c r="BL347" s="725"/>
      <c r="BM347" s="725"/>
      <c r="BN347" s="475"/>
      <c r="BO347" s="475"/>
      <c r="BP347" s="475"/>
      <c r="BY347" s="14">
        <v>9.9860000000000007</v>
      </c>
    </row>
    <row r="348" spans="1:77" ht="15" customHeight="1" x14ac:dyDescent="0.15">
      <c r="A348" s="782" t="str">
        <f>'r-in'!A302</f>
        <v>269_U</v>
      </c>
      <c r="B348" s="258" t="s">
        <v>927</v>
      </c>
      <c r="C348" s="162">
        <f>'r-in'!P302</f>
        <v>256.79637597309642</v>
      </c>
      <c r="D348" s="162">
        <f>'r-in'!Q302</f>
        <v>70.420004570725965</v>
      </c>
      <c r="E348" s="81">
        <f>'r-in'!R302</f>
        <v>2498167.9106886201</v>
      </c>
      <c r="F348" s="162">
        <f>'r-in'!S302</f>
        <v>0.86896854153685632</v>
      </c>
      <c r="G348" s="81">
        <f>'r-in'!T302</f>
        <v>1122.5617616133795</v>
      </c>
      <c r="H348" s="162">
        <f>'r-in'!U302</f>
        <v>53.122792496200006</v>
      </c>
      <c r="I348" s="81">
        <f>'r-in'!V302</f>
        <v>652.72734461411221</v>
      </c>
      <c r="J348" s="162">
        <f>'r-in'!W302</f>
        <v>46.206089730578263</v>
      </c>
      <c r="K348" s="81">
        <f>'r-in'!X302</f>
        <v>11355285.458170975</v>
      </c>
      <c r="L348" s="162">
        <f>'r-in'!Y302</f>
        <v>0.87409969238387719</v>
      </c>
      <c r="M348" s="81">
        <f>'r-in'!Z302</f>
        <v>-36.579810367119258</v>
      </c>
      <c r="N348" s="162">
        <f>'r-in'!AA302</f>
        <v>-654.33993333501121</v>
      </c>
      <c r="O348" s="81">
        <f>'r-in'!AB302</f>
        <v>2464342.7881577238</v>
      </c>
      <c r="P348" s="162">
        <f>'r-in'!AC302</f>
        <v>0.87958823028182986</v>
      </c>
      <c r="Q348" s="81">
        <f>'r-in'!AD302</f>
        <v>11283141.639840337</v>
      </c>
      <c r="R348" s="162">
        <f>'r-in'!AE302</f>
        <v>0.87944539256653853</v>
      </c>
      <c r="S348" s="157">
        <f>'r-in'!AF302</f>
        <v>4.5778563578261933</v>
      </c>
      <c r="T348" s="157">
        <f>'r-in'!AG302</f>
        <v>1.1209954409367834E-2</v>
      </c>
      <c r="U348" s="157">
        <f>'r-in'!AH302</f>
        <v>4.5785729814601721</v>
      </c>
      <c r="V348" s="157">
        <f>'r-in'!AI302</f>
        <v>1.5752267276350734E-2</v>
      </c>
      <c r="W348" s="158">
        <v>269</v>
      </c>
      <c r="X348" s="764">
        <f t="shared" si="123"/>
        <v>0.88353936490481111</v>
      </c>
      <c r="Y348" s="387">
        <f t="shared" si="125"/>
        <v>4.0453494642096484</v>
      </c>
      <c r="Z348" s="640">
        <f t="shared" si="126"/>
        <v>1.1209954409367834E-2</v>
      </c>
      <c r="AA348" s="473">
        <f t="shared" si="128"/>
        <v>-2.2568839043906053</v>
      </c>
      <c r="AB348" s="478">
        <f t="shared" si="129"/>
        <v>0.11184654843698905</v>
      </c>
      <c r="AC348" s="108">
        <v>1</v>
      </c>
      <c r="AD348" s="159">
        <f t="shared" si="124"/>
        <v>1.0300952380952382</v>
      </c>
      <c r="AE348" s="160">
        <v>75</v>
      </c>
      <c r="AF348" s="160">
        <v>14</v>
      </c>
      <c r="AG348" s="160">
        <v>2.1</v>
      </c>
      <c r="AH348" s="303">
        <f t="shared" si="127"/>
        <v>56.742160014371464</v>
      </c>
      <c r="AI348" s="86">
        <f t="shared" si="130"/>
        <v>-308452.71002231579</v>
      </c>
      <c r="AJ348" s="86"/>
      <c r="AK348" s="86"/>
      <c r="AL348" s="775"/>
      <c r="AM348" s="775"/>
      <c r="AN348" s="536"/>
      <c r="AP348" s="53"/>
      <c r="AQ348" s="108"/>
      <c r="AR348" s="108"/>
      <c r="AS348" s="724"/>
      <c r="AT348" s="724"/>
      <c r="AU348" s="724"/>
      <c r="AV348" s="634"/>
      <c r="AW348" s="108"/>
      <c r="AX348" s="725"/>
      <c r="AY348" s="53"/>
      <c r="AZ348" s="108"/>
      <c r="BA348" s="771"/>
      <c r="BB348" s="108"/>
      <c r="BC348" s="724"/>
      <c r="BD348" s="724"/>
      <c r="BE348" s="724"/>
      <c r="BF348" s="634"/>
      <c r="BG348" s="108"/>
      <c r="BH348" s="725"/>
      <c r="BI348" s="725"/>
      <c r="BJ348" s="725"/>
      <c r="BK348" s="725"/>
      <c r="BL348" s="634"/>
      <c r="BM348" s="724"/>
      <c r="BN348" s="475"/>
      <c r="BO348" s="475"/>
      <c r="BP348" s="10"/>
      <c r="BY348" s="14">
        <v>9.9860000000000007</v>
      </c>
    </row>
    <row r="349" spans="1:77" ht="15" customHeight="1" x14ac:dyDescent="0.15">
      <c r="A349" s="782" t="str">
        <f>'r-in'!A303</f>
        <v>270_U</v>
      </c>
      <c r="B349" s="258" t="s">
        <v>927</v>
      </c>
      <c r="C349" s="162">
        <f>'r-in'!P303</f>
        <v>30.254165810959382</v>
      </c>
      <c r="D349" s="162">
        <f>'r-in'!Q303</f>
        <v>692.06620049813273</v>
      </c>
      <c r="E349" s="81">
        <f>'r-in'!R303</f>
        <v>2557121.4943842944</v>
      </c>
      <c r="F349" s="162">
        <f>'r-in'!S303</f>
        <v>0.95797662481046097</v>
      </c>
      <c r="G349" s="81">
        <f>'r-in'!T303</f>
        <v>-416.31336645500608</v>
      </c>
      <c r="H349" s="162">
        <f>'r-in'!U303</f>
        <v>-142.60396070855199</v>
      </c>
      <c r="I349" s="81">
        <f>'r-in'!V303</f>
        <v>-173.96965573040492</v>
      </c>
      <c r="J349" s="162">
        <f>'r-in'!W303</f>
        <v>-152.28489313459622</v>
      </c>
      <c r="K349" s="81">
        <f>'r-in'!X303</f>
        <v>11626840.577530082</v>
      </c>
      <c r="L349" s="162">
        <f>'r-in'!Y303</f>
        <v>0.96419928642484676</v>
      </c>
      <c r="M349" s="81">
        <f>'r-in'!Z303</f>
        <v>1269.3521693927723</v>
      </c>
      <c r="N349" s="162">
        <f>'r-in'!AA303</f>
        <v>17.427761167555158</v>
      </c>
      <c r="O349" s="81">
        <f>'r-in'!AB303</f>
        <v>2523964.8202442662</v>
      </c>
      <c r="P349" s="162">
        <f>'r-in'!AC303</f>
        <v>0.97032602476250984</v>
      </c>
      <c r="Q349" s="81">
        <f>'r-in'!AD303</f>
        <v>11554292.433938386</v>
      </c>
      <c r="R349" s="162">
        <f>'r-in'!AE303</f>
        <v>0.9702122606525323</v>
      </c>
      <c r="S349" s="157">
        <f>'r-in'!AF303</f>
        <v>4.5782891114749669</v>
      </c>
      <c r="T349" s="157">
        <f>'r-in'!AG303</f>
        <v>1.0006388689138536E-2</v>
      </c>
      <c r="U349" s="157">
        <f>'r-in'!AH303</f>
        <v>4.5778391312982167</v>
      </c>
      <c r="V349" s="157">
        <f>'r-in'!AI303</f>
        <v>1.2560649002496389E-2</v>
      </c>
      <c r="W349" s="158">
        <v>270</v>
      </c>
      <c r="X349" s="764">
        <f t="shared" si="123"/>
        <v>0.8835534033299689</v>
      </c>
      <c r="Y349" s="387">
        <f t="shared" si="125"/>
        <v>4.0447653443556479</v>
      </c>
      <c r="Z349" s="640">
        <f t="shared" si="126"/>
        <v>1.0006388689138536E-2</v>
      </c>
      <c r="AA349" s="473">
        <f t="shared" si="128"/>
        <v>-2.4009509543352348</v>
      </c>
      <c r="AB349" s="478">
        <f t="shared" si="129"/>
        <v>9.9823638406548731E-2</v>
      </c>
      <c r="AC349" s="108">
        <v>1</v>
      </c>
      <c r="AD349" s="159">
        <f t="shared" si="124"/>
        <v>1.0300952380952382</v>
      </c>
      <c r="AE349" s="160">
        <v>75</v>
      </c>
      <c r="AF349" s="160">
        <v>14</v>
      </c>
      <c r="AG349" s="160">
        <v>2.1</v>
      </c>
      <c r="AH349" s="303">
        <f t="shared" si="127"/>
        <v>58.182459002450059</v>
      </c>
      <c r="AI349" s="86">
        <f t="shared" si="130"/>
        <v>9102.511275074814</v>
      </c>
      <c r="AJ349" s="86"/>
      <c r="AK349" s="86"/>
      <c r="AL349" s="86"/>
      <c r="AM349" s="86"/>
      <c r="AN349" s="536"/>
      <c r="AP349" s="53"/>
      <c r="AQ349" s="108"/>
      <c r="AR349" s="110"/>
      <c r="AS349" s="724"/>
      <c r="AT349" s="750"/>
      <c r="AU349" s="750"/>
      <c r="AV349" s="751"/>
      <c r="AW349" s="108"/>
      <c r="AX349" s="724"/>
      <c r="AY349" s="53"/>
      <c r="AZ349" s="108"/>
      <c r="BA349" s="771"/>
      <c r="BB349" s="108"/>
      <c r="BC349" s="724"/>
      <c r="BD349" s="724"/>
      <c r="BE349" s="724"/>
      <c r="BF349" s="634"/>
      <c r="BG349" s="108"/>
      <c r="BH349" s="725"/>
      <c r="BI349" s="725"/>
      <c r="BJ349" s="725"/>
      <c r="BK349" s="725"/>
      <c r="BL349" s="725"/>
      <c r="BM349" s="725"/>
      <c r="BN349" s="475"/>
      <c r="BO349" s="475"/>
      <c r="BP349" s="475"/>
      <c r="BY349" s="14">
        <v>9.9860000000000007</v>
      </c>
    </row>
    <row r="350" spans="1:77" ht="15" customHeight="1" x14ac:dyDescent="0.15">
      <c r="A350" s="782" t="str">
        <f>'r-in'!A304</f>
        <v>271_U</v>
      </c>
      <c r="B350" s="258" t="s">
        <v>927</v>
      </c>
      <c r="C350" s="162">
        <f>'r-in'!P304</f>
        <v>126.65160857240443</v>
      </c>
      <c r="D350" s="162">
        <f>'r-in'!Q304</f>
        <v>142.00157816044234</v>
      </c>
      <c r="E350" s="81">
        <f>'r-in'!R304</f>
        <v>2516206.0978662865</v>
      </c>
      <c r="F350" s="162">
        <f>'r-in'!S304</f>
        <v>0.92149173801946926</v>
      </c>
      <c r="G350" s="81">
        <f>'r-in'!T304</f>
        <v>597.63773724881219</v>
      </c>
      <c r="H350" s="162">
        <f>'r-in'!U304</f>
        <v>93.383419874264845</v>
      </c>
      <c r="I350" s="81">
        <f>'r-in'!V304</f>
        <v>342.04251843815416</v>
      </c>
      <c r="J350" s="162">
        <f>'r-in'!W304</f>
        <v>82.038190476160949</v>
      </c>
      <c r="K350" s="81">
        <f>'r-in'!X304</f>
        <v>11437800.546818314</v>
      </c>
      <c r="L350" s="162">
        <f>'r-in'!Y304</f>
        <v>0.92601195621790799</v>
      </c>
      <c r="M350" s="81">
        <f>'r-in'!Z304</f>
        <v>-69.992950603476245</v>
      </c>
      <c r="N350" s="162">
        <f>'r-in'!AA304</f>
        <v>-368.95617922573467</v>
      </c>
      <c r="O350" s="81">
        <f>'r-in'!AB304</f>
        <v>2482522.6201148028</v>
      </c>
      <c r="P350" s="162">
        <f>'r-in'!AC304</f>
        <v>0.93528375632951588</v>
      </c>
      <c r="Q350" s="81">
        <f>'r-in'!AD304</f>
        <v>11366315.772339446</v>
      </c>
      <c r="R350" s="162">
        <f>'r-in'!AE304</f>
        <v>0.93220958699784284</v>
      </c>
      <c r="S350" s="157">
        <f>'r-in'!AF304</f>
        <v>4.5782495533409415</v>
      </c>
      <c r="T350" s="157">
        <f>'r-in'!AG304</f>
        <v>1.1017051400257301E-2</v>
      </c>
      <c r="U350" s="157">
        <f>'r-in'!AH304</f>
        <v>4.5786447756610311</v>
      </c>
      <c r="V350" s="157">
        <f>'r-in'!AI304</f>
        <v>1.438225637415669E-2</v>
      </c>
      <c r="W350" s="158">
        <v>271</v>
      </c>
      <c r="X350" s="764">
        <f t="shared" si="123"/>
        <v>0.88356779098562821</v>
      </c>
      <c r="Y350" s="387">
        <f t="shared" si="125"/>
        <v>4.0455430501387042</v>
      </c>
      <c r="Z350" s="640">
        <f t="shared" si="126"/>
        <v>1.1017051400257301E-2</v>
      </c>
      <c r="AA350" s="473">
        <f t="shared" si="128"/>
        <v>-2.2091379606106187</v>
      </c>
      <c r="AB350" s="478">
        <f t="shared" si="129"/>
        <v>0.10992713213786587</v>
      </c>
      <c r="AC350" s="108">
        <v>1</v>
      </c>
      <c r="AD350" s="159">
        <f t="shared" si="124"/>
        <v>1.0300952380952382</v>
      </c>
      <c r="AE350" s="160">
        <v>75</v>
      </c>
      <c r="AF350" s="160">
        <v>14</v>
      </c>
      <c r="AG350" s="160">
        <v>2.1</v>
      </c>
      <c r="AH350" s="303">
        <f t="shared" si="127"/>
        <v>57.312551285656127</v>
      </c>
      <c r="AI350" s="86">
        <f t="shared" si="130"/>
        <v>-162392.29342868895</v>
      </c>
      <c r="AJ350" s="86"/>
      <c r="AK350" s="86"/>
      <c r="AL350" s="775"/>
      <c r="AM350" s="775"/>
      <c r="AN350" s="536"/>
      <c r="AP350" s="53"/>
      <c r="AQ350" s="108"/>
      <c r="AR350" s="108"/>
      <c r="AS350" s="724"/>
      <c r="AT350" s="724"/>
      <c r="AU350" s="724"/>
      <c r="AV350" s="634"/>
      <c r="AW350" s="108"/>
      <c r="AX350" s="725"/>
      <c r="AY350" s="53"/>
      <c r="AZ350" s="108"/>
      <c r="BA350" s="771"/>
      <c r="BB350" s="108"/>
      <c r="BC350" s="724"/>
      <c r="BD350" s="724"/>
      <c r="BE350" s="724"/>
      <c r="BF350" s="634"/>
      <c r="BG350" s="108"/>
      <c r="BH350" s="725"/>
      <c r="BI350" s="725"/>
      <c r="BJ350" s="725"/>
      <c r="BK350" s="725"/>
      <c r="BL350" s="634"/>
      <c r="BM350" s="724"/>
      <c r="BN350" s="475"/>
      <c r="BO350" s="475"/>
      <c r="BP350" s="10"/>
      <c r="BY350" s="14">
        <v>9.9860000000000007</v>
      </c>
    </row>
    <row r="351" spans="1:77" ht="15" customHeight="1" x14ac:dyDescent="0.15">
      <c r="A351" s="782" t="str">
        <f>'r-in'!A305</f>
        <v>272_U</v>
      </c>
      <c r="B351" s="258" t="s">
        <v>927</v>
      </c>
      <c r="C351" s="162">
        <f>'r-in'!P305</f>
        <v>35.312288117768517</v>
      </c>
      <c r="D351" s="162">
        <f>'r-in'!Q305</f>
        <v>497.59910934389876</v>
      </c>
      <c r="E351" s="81">
        <f>'r-in'!R305</f>
        <v>2631075.4755174317</v>
      </c>
      <c r="F351" s="162">
        <f>'r-in'!S305</f>
        <v>1.2269554419338387</v>
      </c>
      <c r="G351" s="81">
        <f>'r-in'!T305</f>
        <v>-160.67558184561253</v>
      </c>
      <c r="H351" s="162">
        <f>'r-in'!U305</f>
        <v>-321.33074934954067</v>
      </c>
      <c r="I351" s="81">
        <f>'r-in'!V305</f>
        <v>-54.316690452566547</v>
      </c>
      <c r="J351" s="162">
        <f>'r-in'!W305</f>
        <v>-454.45545444645148</v>
      </c>
      <c r="K351" s="81">
        <f>'r-in'!X305</f>
        <v>11963485.321285859</v>
      </c>
      <c r="L351" s="162">
        <f>'r-in'!Y305</f>
        <v>1.2349203030870823</v>
      </c>
      <c r="M351" s="81">
        <f>'r-in'!Z305</f>
        <v>429.36356086425019</v>
      </c>
      <c r="N351" s="162">
        <f>'r-in'!AA305</f>
        <v>45.44495052370759</v>
      </c>
      <c r="O351" s="81">
        <f>'r-in'!AB305</f>
        <v>2597894.0477998629</v>
      </c>
      <c r="P351" s="162">
        <f>'r-in'!AC305</f>
        <v>1.2436044121570931</v>
      </c>
      <c r="Q351" s="81">
        <f>'r-in'!AD305</f>
        <v>11891042.666424045</v>
      </c>
      <c r="R351" s="162">
        <f>'r-in'!AE305</f>
        <v>1.2420651410756418</v>
      </c>
      <c r="S351" s="157">
        <f>'r-in'!AF305</f>
        <v>4.5771159630088816</v>
      </c>
      <c r="T351" s="157">
        <f>'r-in'!AG305</f>
        <v>9.1105859050325897E-3</v>
      </c>
      <c r="U351" s="157">
        <f>'r-in'!AH305</f>
        <v>4.5772639972511904</v>
      </c>
      <c r="V351" s="157">
        <f>'r-in'!AI305</f>
        <v>1.3597859861353642E-2</v>
      </c>
      <c r="W351" s="158">
        <v>272</v>
      </c>
      <c r="X351" s="764">
        <f t="shared" si="123"/>
        <v>0.88358253936928322</v>
      </c>
      <c r="Y351" s="387">
        <f t="shared" si="125"/>
        <v>4.0443905460548022</v>
      </c>
      <c r="Z351" s="640">
        <f t="shared" si="126"/>
        <v>9.1105859050325897E-3</v>
      </c>
      <c r="AA351" s="473">
        <f t="shared" si="128"/>
        <v>-2.4933910334684617</v>
      </c>
      <c r="AB351" s="478">
        <f t="shared" si="129"/>
        <v>9.0878696518359448E-2</v>
      </c>
      <c r="AC351" s="108">
        <v>1</v>
      </c>
      <c r="AD351" s="159">
        <f t="shared" si="124"/>
        <v>1.0300952380952382</v>
      </c>
      <c r="AE351" s="160">
        <v>75</v>
      </c>
      <c r="AF351" s="160">
        <v>14</v>
      </c>
      <c r="AG351" s="160">
        <v>2.1</v>
      </c>
      <c r="AH351" s="303">
        <f t="shared" si="127"/>
        <v>60.039877990761035</v>
      </c>
      <c r="AI351" s="86">
        <f t="shared" si="130"/>
        <v>27694.578092488802</v>
      </c>
      <c r="AJ351" s="86"/>
      <c r="AK351" s="86"/>
      <c r="AL351" s="86"/>
      <c r="AM351" s="86"/>
      <c r="AN351" s="536"/>
      <c r="AP351" s="53"/>
      <c r="AQ351" s="108"/>
      <c r="AR351" s="110"/>
      <c r="AS351" s="724"/>
      <c r="AT351" s="750"/>
      <c r="AU351" s="750"/>
      <c r="AV351" s="751"/>
      <c r="AW351" s="108"/>
      <c r="AX351" s="724"/>
      <c r="AY351" s="53"/>
      <c r="AZ351" s="108"/>
      <c r="BA351" s="771"/>
      <c r="BB351" s="108"/>
      <c r="BC351" s="724"/>
      <c r="BD351" s="724"/>
      <c r="BE351" s="724"/>
      <c r="BF351" s="634"/>
      <c r="BG351" s="108"/>
      <c r="BH351" s="725"/>
      <c r="BI351" s="725"/>
      <c r="BJ351" s="725"/>
      <c r="BK351" s="725"/>
      <c r="BL351" s="725"/>
      <c r="BM351" s="725"/>
      <c r="BN351" s="475"/>
      <c r="BO351" s="475"/>
      <c r="BP351" s="475"/>
      <c r="BY351" s="14">
        <v>9.9860000000000007</v>
      </c>
    </row>
    <row r="352" spans="1:77" ht="15" customHeight="1" x14ac:dyDescent="0.15">
      <c r="A352" s="782" t="str">
        <f>'r-in'!A306</f>
        <v>273_U</v>
      </c>
      <c r="B352" s="258" t="s">
        <v>927</v>
      </c>
      <c r="C352" s="162">
        <f>'r-in'!P306</f>
        <v>108.04543495220653</v>
      </c>
      <c r="D352" s="162">
        <f>'r-in'!Q306</f>
        <v>172.5150011765262</v>
      </c>
      <c r="E352" s="81">
        <f>'r-in'!R306</f>
        <v>2587678.3251700723</v>
      </c>
      <c r="F352" s="162">
        <f>'r-in'!S306</f>
        <v>0.99605347029880187</v>
      </c>
      <c r="G352" s="81">
        <f>'r-in'!T306</f>
        <v>-2369.5603404646395</v>
      </c>
      <c r="H352" s="162">
        <f>'r-in'!U306</f>
        <v>-25.356579580319501</v>
      </c>
      <c r="I352" s="81">
        <f>'r-in'!V306</f>
        <v>-1025.0107842519019</v>
      </c>
      <c r="J352" s="162">
        <f>'r-in'!W306</f>
        <v>-25.908924303636464</v>
      </c>
      <c r="K352" s="81">
        <f>'r-in'!X306</f>
        <v>11766611.866125727</v>
      </c>
      <c r="L352" s="162">
        <f>'r-in'!Y306</f>
        <v>1.0029821338013476</v>
      </c>
      <c r="M352" s="81">
        <f>'r-in'!Z306</f>
        <v>-334.63759317493452</v>
      </c>
      <c r="N352" s="162">
        <f>'r-in'!AA306</f>
        <v>-81.528690528101649</v>
      </c>
      <c r="O352" s="81">
        <f>'r-in'!AB306</f>
        <v>2555434.2669991008</v>
      </c>
      <c r="P352" s="162">
        <f>'r-in'!AC306</f>
        <v>1.0067672743786094</v>
      </c>
      <c r="Q352" s="81">
        <f>'r-in'!AD306</f>
        <v>11695275.177096818</v>
      </c>
      <c r="R352" s="162">
        <f>'r-in'!AE306</f>
        <v>1.0079514458778494</v>
      </c>
      <c r="S352" s="157">
        <f>'r-in'!AF306</f>
        <v>4.5786414380632152</v>
      </c>
      <c r="T352" s="157">
        <f>'r-in'!AG306</f>
        <v>8.8440184395709252E-3</v>
      </c>
      <c r="U352" s="157">
        <f>'r-in'!AH306</f>
        <v>4.5765981390565713</v>
      </c>
      <c r="V352" s="157">
        <f>'r-in'!AI306</f>
        <v>1.0660015157000104E-2</v>
      </c>
      <c r="W352" s="158">
        <v>273</v>
      </c>
      <c r="X352" s="764">
        <f t="shared" si="123"/>
        <v>0.88359766009889162</v>
      </c>
      <c r="Y352" s="387">
        <f t="shared" si="125"/>
        <v>4.0438714068833281</v>
      </c>
      <c r="Z352" s="640">
        <f t="shared" si="126"/>
        <v>8.8440184395709252E-3</v>
      </c>
      <c r="AA352" s="473">
        <f t="shared" si="128"/>
        <v>-2.6214312780051818</v>
      </c>
      <c r="AB352" s="478">
        <f t="shared" si="129"/>
        <v>8.8208344530049665E-2</v>
      </c>
      <c r="AC352" s="108">
        <v>1</v>
      </c>
      <c r="AD352" s="159">
        <f t="shared" si="124"/>
        <v>1.0300952380952382</v>
      </c>
      <c r="AE352" s="160">
        <v>75</v>
      </c>
      <c r="AF352" s="160">
        <v>14</v>
      </c>
      <c r="AG352" s="160">
        <v>2.1</v>
      </c>
      <c r="AH352" s="303">
        <f t="shared" si="127"/>
        <v>59.132848158090447</v>
      </c>
      <c r="AI352" s="86">
        <f t="shared" si="130"/>
        <v>-34949.077496451566</v>
      </c>
      <c r="AJ352" s="86"/>
      <c r="AK352" s="86"/>
      <c r="AL352" s="775"/>
      <c r="AM352" s="775"/>
      <c r="AN352" s="536"/>
      <c r="AP352" s="53"/>
      <c r="AQ352" s="108"/>
      <c r="AR352" s="108"/>
      <c r="AS352" s="724"/>
      <c r="AT352" s="724"/>
      <c r="AU352" s="724"/>
      <c r="AV352" s="634"/>
      <c r="AW352" s="108"/>
      <c r="AX352" s="725"/>
      <c r="AY352" s="53"/>
      <c r="AZ352" s="108"/>
      <c r="BA352" s="771"/>
      <c r="BB352" s="108"/>
      <c r="BC352" s="724"/>
      <c r="BD352" s="724"/>
      <c r="BE352" s="724"/>
      <c r="BF352" s="634"/>
      <c r="BG352" s="108"/>
      <c r="BH352" s="725"/>
      <c r="BI352" s="725"/>
      <c r="BJ352" s="725"/>
      <c r="BK352" s="725"/>
      <c r="BL352" s="634"/>
      <c r="BM352" s="724"/>
      <c r="BN352" s="475"/>
      <c r="BO352" s="475"/>
      <c r="BP352" s="10"/>
      <c r="BY352" s="14">
        <v>9.9860000000000007</v>
      </c>
    </row>
    <row r="353" spans="1:77" ht="15" customHeight="1" x14ac:dyDescent="0.15">
      <c r="A353" s="782" t="str">
        <f>'r-in'!A307</f>
        <v>274_U</v>
      </c>
      <c r="B353" s="258" t="s">
        <v>927</v>
      </c>
      <c r="C353" s="162">
        <f>'r-in'!P307</f>
        <v>-9.3839424313366671</v>
      </c>
      <c r="D353" s="162">
        <f>'r-in'!Q307</f>
        <v>-2019.9224433688294</v>
      </c>
      <c r="E353" s="81">
        <f>'r-in'!R307</f>
        <v>2537494.5526157501</v>
      </c>
      <c r="F353" s="162">
        <f>'r-in'!S307</f>
        <v>1.0183889730576778</v>
      </c>
      <c r="G353" s="81">
        <f>'r-in'!T307</f>
        <v>190.80825984962101</v>
      </c>
      <c r="H353" s="162">
        <f>'r-in'!U307</f>
        <v>295.73400091194441</v>
      </c>
      <c r="I353" s="81">
        <f>'r-in'!V307</f>
        <v>82.167757230181479</v>
      </c>
      <c r="J353" s="162">
        <f>'r-in'!W307</f>
        <v>304.86008413002855</v>
      </c>
      <c r="K353" s="81">
        <f>'r-in'!X307</f>
        <v>11537482.548874652</v>
      </c>
      <c r="L353" s="162">
        <f>'r-in'!Y307</f>
        <v>1.0264930487224015</v>
      </c>
      <c r="M353" s="81">
        <f>'r-in'!Z307</f>
        <v>-50.059648750761426</v>
      </c>
      <c r="N353" s="162">
        <f>'r-in'!AA307</f>
        <v>-448.00856333109203</v>
      </c>
      <c r="O353" s="81">
        <f>'r-in'!AB307</f>
        <v>2504207.8090819679</v>
      </c>
      <c r="P353" s="162">
        <f>'r-in'!AC307</f>
        <v>1.0316933849645984</v>
      </c>
      <c r="Q353" s="81">
        <f>'r-in'!AD307</f>
        <v>11465853.167220404</v>
      </c>
      <c r="R353" s="162">
        <f>'r-in'!AE307</f>
        <v>1.0327821658450951</v>
      </c>
      <c r="S353" s="157">
        <f>'r-in'!AF307</f>
        <v>4.5789255173342527</v>
      </c>
      <c r="T353" s="157">
        <f>'r-in'!AG307</f>
        <v>1.0143567921279989E-2</v>
      </c>
      <c r="U353" s="157">
        <f>'r-in'!AH307</f>
        <v>4.578611298418056</v>
      </c>
      <c r="V353" s="157">
        <f>'r-in'!AI307</f>
        <v>1.4025042500712607E-2</v>
      </c>
      <c r="W353" s="158">
        <v>274</v>
      </c>
      <c r="X353" s="764">
        <f t="shared" si="123"/>
        <v>0.88361316491298747</v>
      </c>
      <c r="Y353" s="387">
        <f t="shared" si="125"/>
        <v>4.0457212203015418</v>
      </c>
      <c r="Z353" s="640">
        <f t="shared" si="126"/>
        <v>1.0143567921279989E-2</v>
      </c>
      <c r="AA353" s="473">
        <f t="shared" si="128"/>
        <v>-2.1651941542627506</v>
      </c>
      <c r="AB353" s="478">
        <f t="shared" si="129"/>
        <v>0.10121605127311195</v>
      </c>
      <c r="AC353" s="108">
        <v>1</v>
      </c>
      <c r="AD353" s="159">
        <f t="shared" si="124"/>
        <v>1.0300952380952382</v>
      </c>
      <c r="AE353" s="160">
        <v>75</v>
      </c>
      <c r="AF353" s="160">
        <v>14</v>
      </c>
      <c r="AG353" s="160">
        <v>2.1</v>
      </c>
      <c r="AH353" s="303">
        <f t="shared" si="127"/>
        <v>58.053978393360801</v>
      </c>
      <c r="AI353" s="86">
        <f t="shared" si="130"/>
        <v>-229043.81979000612</v>
      </c>
      <c r="AJ353" s="86"/>
      <c r="AK353" s="86"/>
      <c r="AL353" s="86"/>
      <c r="AM353" s="86"/>
      <c r="AN353" s="536"/>
      <c r="AP353" s="53"/>
      <c r="AQ353" s="108"/>
      <c r="AR353" s="110"/>
      <c r="AS353" s="724"/>
      <c r="AT353" s="750"/>
      <c r="AU353" s="750"/>
      <c r="AV353" s="751"/>
      <c r="AW353" s="108"/>
      <c r="AX353" s="724"/>
      <c r="AY353" s="53"/>
      <c r="AZ353" s="108"/>
      <c r="BA353" s="771"/>
      <c r="BB353" s="108"/>
      <c r="BC353" s="724"/>
      <c r="BD353" s="724"/>
      <c r="BE353" s="724"/>
      <c r="BF353" s="634"/>
      <c r="BG353" s="108"/>
      <c r="BH353" s="725"/>
      <c r="BI353" s="725"/>
      <c r="BJ353" s="725"/>
      <c r="BK353" s="725"/>
      <c r="BL353" s="725"/>
      <c r="BM353" s="725"/>
      <c r="BN353" s="475"/>
      <c r="BO353" s="475"/>
      <c r="BP353" s="475"/>
      <c r="BY353" s="14">
        <v>9.9860000000000007</v>
      </c>
    </row>
    <row r="354" spans="1:77" s="437" customFormat="1" ht="15" customHeight="1" x14ac:dyDescent="0.2">
      <c r="A354" s="783" t="str">
        <f>'r-in'!A308</f>
        <v>275_U</v>
      </c>
      <c r="B354" s="707" t="s">
        <v>1134</v>
      </c>
      <c r="C354" s="567">
        <f>'r-in'!P308</f>
        <v>5590.1591372031944</v>
      </c>
      <c r="D354" s="567">
        <f>'r-in'!Q308</f>
        <v>3.6142608639569924</v>
      </c>
      <c r="E354" s="568">
        <f>'r-in'!R308</f>
        <v>160398.2255064178</v>
      </c>
      <c r="F354" s="567">
        <f>'r-in'!S308</f>
        <v>0.18687133569596837</v>
      </c>
      <c r="G354" s="568">
        <f>'r-in'!T308</f>
        <v>2123.1804932417172</v>
      </c>
      <c r="H354" s="567">
        <f>'r-in'!U308</f>
        <v>22.329722110239068</v>
      </c>
      <c r="I354" s="568">
        <f>'r-in'!V308</f>
        <v>4004.6438977065245</v>
      </c>
      <c r="J354" s="567">
        <f>'r-in'!W308</f>
        <v>5.4965449859173372</v>
      </c>
      <c r="K354" s="568">
        <f>'r-in'!X308</f>
        <v>636680.79162239213</v>
      </c>
      <c r="L354" s="567">
        <f>'r-in'!Y308</f>
        <v>0.15979592202214027</v>
      </c>
      <c r="M354" s="568">
        <f>'r-in'!Z308</f>
        <v>2890.9031669495344</v>
      </c>
      <c r="N354" s="567">
        <f>'r-in'!AA308</f>
        <v>8.0291941504829989</v>
      </c>
      <c r="O354" s="568">
        <f>'r-in'!AB308</f>
        <v>123370.1599646784</v>
      </c>
      <c r="P354" s="567">
        <f>'r-in'!AC308</f>
        <v>0.25268143841352536</v>
      </c>
      <c r="Q354" s="568">
        <f>'r-in'!AD308</f>
        <v>562168.69247570192</v>
      </c>
      <c r="R354" s="567">
        <f>'r-in'!AE308</f>
        <v>0.18139174119978493</v>
      </c>
      <c r="S354" s="588">
        <f>'r-in'!AF308</f>
        <v>4.4142833847733574</v>
      </c>
      <c r="T354" s="588">
        <f>'r-in'!AG308</f>
        <v>0.17319654284120953</v>
      </c>
      <c r="U354" s="588">
        <f>'r-in'!AH308</f>
        <v>4.5578335970356587</v>
      </c>
      <c r="V354" s="588">
        <f>'r-in'!AI308</f>
        <v>0.19643371496227713</v>
      </c>
      <c r="W354" s="569">
        <v>275</v>
      </c>
      <c r="X354" s="776">
        <f t="shared" si="123"/>
        <v>0.8836290656708029</v>
      </c>
      <c r="Y354" s="610">
        <f t="shared" si="125"/>
        <v>4.0274342428316139</v>
      </c>
      <c r="Z354" s="639">
        <f t="shared" si="126"/>
        <v>0.17319654284120953</v>
      </c>
      <c r="AA354" s="666">
        <f t="shared" si="128"/>
        <v>-6.6754857980974025</v>
      </c>
      <c r="AB354" s="667">
        <f t="shared" si="129"/>
        <v>1.7204037177919185</v>
      </c>
      <c r="AC354" s="570">
        <v>1</v>
      </c>
      <c r="AD354" s="787">
        <f t="shared" si="124"/>
        <v>7.1336235325154998E-2</v>
      </c>
      <c r="AE354" s="571">
        <v>285</v>
      </c>
      <c r="AF354" s="571">
        <v>14</v>
      </c>
      <c r="AG354" s="571">
        <v>2.1</v>
      </c>
      <c r="AH354" s="572">
        <f t="shared" si="127"/>
        <v>0.1973973061635266</v>
      </c>
      <c r="AI354" s="742">
        <f t="shared" si="130"/>
        <v>194.46126695032103</v>
      </c>
      <c r="AJ354" s="742"/>
      <c r="AK354" s="742"/>
      <c r="AL354" s="788">
        <f>AGaverage(AA354:AA368)</f>
        <v>-10.525368457762546</v>
      </c>
      <c r="AM354" s="788">
        <f>STDEV(AA354:AA368)/(COUNT(AA354:AA368)-1)^0.5</f>
        <v>0.84189757272131815</v>
      </c>
      <c r="AN354" s="573"/>
      <c r="AP354" s="240"/>
      <c r="AQ354" s="570"/>
      <c r="AR354" s="570"/>
      <c r="AS354" s="723"/>
      <c r="AT354" s="723"/>
      <c r="AU354" s="723"/>
      <c r="AV354" s="624"/>
      <c r="AW354" s="570"/>
      <c r="AX354" s="769"/>
      <c r="AY354" s="240"/>
      <c r="AZ354" s="570"/>
      <c r="BA354" s="770"/>
      <c r="BB354" s="570"/>
      <c r="BC354" s="723"/>
      <c r="BD354" s="723"/>
      <c r="BE354" s="723"/>
      <c r="BF354" s="624"/>
      <c r="BG354" s="570"/>
      <c r="BH354" s="769"/>
      <c r="BI354" s="769"/>
      <c r="BJ354" s="769"/>
      <c r="BK354" s="769"/>
      <c r="BL354" s="624"/>
      <c r="BM354" s="723"/>
      <c r="BN354" s="574"/>
      <c r="BO354" s="574"/>
      <c r="BP354" s="576"/>
      <c r="BY354" s="437">
        <v>9.9860000000000007</v>
      </c>
    </row>
    <row r="355" spans="1:77" ht="15" customHeight="1" x14ac:dyDescent="0.2">
      <c r="A355" s="782" t="str">
        <f>'r-in'!A309</f>
        <v>276_U</v>
      </c>
      <c r="B355" s="707" t="s">
        <v>1134</v>
      </c>
      <c r="C355" s="162">
        <f>'r-in'!P309</f>
        <v>5982.1347081782214</v>
      </c>
      <c r="D355" s="162">
        <f>'r-in'!Q309</f>
        <v>3.2387777058492206</v>
      </c>
      <c r="E355" s="81">
        <f>'r-in'!R309</f>
        <v>162269.37146897602</v>
      </c>
      <c r="F355" s="162">
        <f>'r-in'!S309</f>
        <v>0.14324676339551826</v>
      </c>
      <c r="G355" s="81">
        <f>'r-in'!T309</f>
        <v>3312.5571352294692</v>
      </c>
      <c r="H355" s="162">
        <f>'r-in'!U309</f>
        <v>17.881752147206502</v>
      </c>
      <c r="I355" s="81">
        <f>'r-in'!V309</f>
        <v>4761.2861366703146</v>
      </c>
      <c r="J355" s="162">
        <f>'r-in'!W309</f>
        <v>5.5257344228284255</v>
      </c>
      <c r="K355" s="81">
        <f>'r-in'!X309</f>
        <v>643007.07633149379</v>
      </c>
      <c r="L355" s="162">
        <f>'r-in'!Y309</f>
        <v>0.12198308466166329</v>
      </c>
      <c r="M355" s="81">
        <f>'r-in'!Z309</f>
        <v>3271.0303851657454</v>
      </c>
      <c r="N355" s="162">
        <f>'r-in'!AA309</f>
        <v>8.0825461583707963</v>
      </c>
      <c r="O355" s="81">
        <f>'r-in'!AB309</f>
        <v>125440.72461296615</v>
      </c>
      <c r="P355" s="162">
        <f>'r-in'!AC309</f>
        <v>0.26258531912644856</v>
      </c>
      <c r="Q355" s="81">
        <f>'r-in'!AD309</f>
        <v>570961.79436048539</v>
      </c>
      <c r="R355" s="162">
        <f>'r-in'!AE309</f>
        <v>0.14709424870934523</v>
      </c>
      <c r="S355" s="157">
        <f>'r-in'!AF309</f>
        <v>4.3856397193698271</v>
      </c>
      <c r="T355" s="157">
        <f>'r-in'!AG309</f>
        <v>0.13985008827038378</v>
      </c>
      <c r="U355" s="157">
        <f>'r-in'!AH309</f>
        <v>4.5532213969442452</v>
      </c>
      <c r="V355" s="157">
        <f>'r-in'!AI309</f>
        <v>0.23482941213858394</v>
      </c>
      <c r="W355" s="158">
        <v>276</v>
      </c>
      <c r="X355" s="764">
        <f t="shared" si="123"/>
        <v>0.8836453743523941</v>
      </c>
      <c r="Y355" s="387">
        <f t="shared" si="125"/>
        <v>4.0234330258121282</v>
      </c>
      <c r="Z355" s="640">
        <f t="shared" si="126"/>
        <v>0.13985008827038378</v>
      </c>
      <c r="AA355" s="473">
        <f t="shared" si="128"/>
        <v>-7.6623441084897603</v>
      </c>
      <c r="AB355" s="478">
        <f t="shared" si="129"/>
        <v>1.3877850877045415</v>
      </c>
      <c r="AC355" s="108">
        <v>1</v>
      </c>
      <c r="AD355" s="159">
        <f t="shared" si="124"/>
        <v>7.1336235325154998E-2</v>
      </c>
      <c r="AE355" s="160">
        <v>285</v>
      </c>
      <c r="AF355" s="160">
        <v>14</v>
      </c>
      <c r="AG355" s="160">
        <v>2.1</v>
      </c>
      <c r="AH355" s="303">
        <f t="shared" si="127"/>
        <v>0.20077367734781215</v>
      </c>
      <c r="AI355" s="86">
        <f t="shared" si="130"/>
        <v>174.55105184892813</v>
      </c>
      <c r="AJ355" s="86"/>
      <c r="AK355" s="86"/>
      <c r="AL355" s="86"/>
      <c r="AM355" s="86"/>
      <c r="AN355" s="536"/>
      <c r="AP355" s="53"/>
      <c r="AQ355" s="108"/>
      <c r="AR355" s="110"/>
      <c r="AS355" s="724"/>
      <c r="AT355" s="750"/>
      <c r="AU355" s="750"/>
      <c r="AV355" s="751"/>
      <c r="AW355" s="108"/>
      <c r="AX355" s="724"/>
      <c r="AY355" s="53"/>
      <c r="AZ355" s="108"/>
      <c r="BA355" s="771"/>
      <c r="BB355" s="108"/>
      <c r="BC355" s="724"/>
      <c r="BD355" s="724"/>
      <c r="BE355" s="724"/>
      <c r="BF355" s="634"/>
      <c r="BG355" s="108"/>
      <c r="BH355" s="725"/>
      <c r="BI355" s="725"/>
      <c r="BJ355" s="725"/>
      <c r="BK355" s="725"/>
      <c r="BL355" s="725"/>
      <c r="BM355" s="725"/>
      <c r="BN355" s="475"/>
      <c r="BO355" s="475"/>
      <c r="BP355" s="475"/>
      <c r="BY355" s="14">
        <v>9.9860000000000007</v>
      </c>
    </row>
    <row r="356" spans="1:77" ht="15" customHeight="1" x14ac:dyDescent="0.2">
      <c r="A356" s="782" t="str">
        <f>'r-in'!A310</f>
        <v>277_U</v>
      </c>
      <c r="B356" s="707" t="s">
        <v>1134</v>
      </c>
      <c r="C356" s="162">
        <f>'r-in'!P310</f>
        <v>5946.6830745238312</v>
      </c>
      <c r="D356" s="162">
        <f>'r-in'!Q310</f>
        <v>3.8352400604467562</v>
      </c>
      <c r="E356" s="81">
        <f>'r-in'!R310</f>
        <v>155873.88401438936</v>
      </c>
      <c r="F356" s="162">
        <f>'r-in'!S310</f>
        <v>0.28002714851496585</v>
      </c>
      <c r="G356" s="81">
        <f>'r-in'!T310</f>
        <v>1028.3572271513669</v>
      </c>
      <c r="H356" s="162">
        <f>'r-in'!U310</f>
        <v>62.146669440421697</v>
      </c>
      <c r="I356" s="81">
        <f>'r-in'!V310</f>
        <v>3697.4391694880924</v>
      </c>
      <c r="J356" s="162">
        <f>'r-in'!W310</f>
        <v>7.3791731078403391</v>
      </c>
      <c r="K356" s="81">
        <f>'r-in'!X310</f>
        <v>616069.8342563773</v>
      </c>
      <c r="L356" s="162">
        <f>'r-in'!Y310</f>
        <v>0.30699349200511228</v>
      </c>
      <c r="M356" s="81">
        <f>'r-in'!Z310</f>
        <v>2824.6065745487999</v>
      </c>
      <c r="N356" s="162">
        <f>'r-in'!AA310</f>
        <v>9.228872224706171</v>
      </c>
      <c r="O356" s="81">
        <f>'r-in'!AB310</f>
        <v>120234.17683272254</v>
      </c>
      <c r="P356" s="162">
        <f>'r-in'!AC310</f>
        <v>0.39589907227157606</v>
      </c>
      <c r="Q356" s="81">
        <f>'r-in'!AD310</f>
        <v>545098.01627076289</v>
      </c>
      <c r="R356" s="162">
        <f>'r-in'!AE310</f>
        <v>0.34773203274500936</v>
      </c>
      <c r="S356" s="157">
        <f>'r-in'!AF310</f>
        <v>4.3985859553596507</v>
      </c>
      <c r="T356" s="157">
        <f>'r-in'!AG310</f>
        <v>0.11088399860373906</v>
      </c>
      <c r="U356" s="157">
        <f>'r-in'!AH310</f>
        <v>4.5350324408134464</v>
      </c>
      <c r="V356" s="157">
        <f>'r-in'!AI310</f>
        <v>0.24835434901349493</v>
      </c>
      <c r="W356" s="158">
        <v>277</v>
      </c>
      <c r="X356" s="764">
        <f t="shared" si="123"/>
        <v>0.88366210305877102</v>
      </c>
      <c r="Y356" s="387">
        <f t="shared" si="125"/>
        <v>4.0074363040889613</v>
      </c>
      <c r="Z356" s="640">
        <f t="shared" si="126"/>
        <v>0.11088399860373906</v>
      </c>
      <c r="AA356" s="473">
        <f t="shared" si="128"/>
        <v>-11.607768136894459</v>
      </c>
      <c r="AB356" s="478">
        <f t="shared" si="129"/>
        <v>1.0959688285785418</v>
      </c>
      <c r="AC356" s="108">
        <v>1</v>
      </c>
      <c r="AD356" s="159">
        <f t="shared" si="124"/>
        <v>7.1336235325154998E-2</v>
      </c>
      <c r="AE356" s="160">
        <v>285</v>
      </c>
      <c r="AF356" s="160">
        <v>14</v>
      </c>
      <c r="AG356" s="160">
        <v>2.1</v>
      </c>
      <c r="AH356" s="303">
        <f t="shared" si="127"/>
        <v>0.19195906211769873</v>
      </c>
      <c r="AI356" s="86">
        <f t="shared" si="130"/>
        <v>192.98192575999238</v>
      </c>
      <c r="AJ356" s="86"/>
      <c r="AK356" s="86"/>
      <c r="AL356" s="775"/>
      <c r="AM356" s="775"/>
      <c r="AN356" s="536"/>
      <c r="AP356" s="53"/>
      <c r="AQ356" s="108"/>
      <c r="AR356" s="108"/>
      <c r="AS356" s="724"/>
      <c r="AT356" s="724"/>
      <c r="AU356" s="724"/>
      <c r="AV356" s="634"/>
      <c r="AW356" s="108"/>
      <c r="AX356" s="725"/>
      <c r="AY356" s="53"/>
      <c r="AZ356" s="108"/>
      <c r="BA356" s="771"/>
      <c r="BB356" s="108"/>
      <c r="BC356" s="724"/>
      <c r="BD356" s="724"/>
      <c r="BE356" s="724"/>
      <c r="BF356" s="634"/>
      <c r="BG356" s="108"/>
      <c r="BH356" s="725"/>
      <c r="BI356" s="725"/>
      <c r="BJ356" s="725"/>
      <c r="BK356" s="725"/>
      <c r="BL356" s="634"/>
      <c r="BM356" s="724"/>
      <c r="BN356" s="475"/>
      <c r="BO356" s="475"/>
      <c r="BP356" s="10"/>
      <c r="BY356" s="14">
        <v>9.9860000000000007</v>
      </c>
    </row>
    <row r="357" spans="1:77" ht="15" customHeight="1" x14ac:dyDescent="0.2">
      <c r="A357" s="782" t="str">
        <f>'r-in'!A311</f>
        <v>278_U</v>
      </c>
      <c r="B357" s="707" t="s">
        <v>1134</v>
      </c>
      <c r="C357" s="162">
        <f>'r-in'!P311</f>
        <v>5775.8149175880744</v>
      </c>
      <c r="D357" s="162">
        <f>'r-in'!Q311</f>
        <v>2.8507558944539859</v>
      </c>
      <c r="E357" s="81">
        <f>'r-in'!R311</f>
        <v>154528.53018805376</v>
      </c>
      <c r="F357" s="162">
        <f>'r-in'!S311</f>
        <v>0.15337362584839262</v>
      </c>
      <c r="G357" s="81">
        <f>'r-in'!T311</f>
        <v>2642.138242608572</v>
      </c>
      <c r="H357" s="162">
        <f>'r-in'!U311</f>
        <v>24.763286092150654</v>
      </c>
      <c r="I357" s="81">
        <f>'r-in'!V311</f>
        <v>4342.7250044185748</v>
      </c>
      <c r="J357" s="162">
        <f>'r-in'!W311</f>
        <v>6.9939544244121068</v>
      </c>
      <c r="K357" s="81">
        <f>'r-in'!X311</f>
        <v>608773.33423435502</v>
      </c>
      <c r="L357" s="162">
        <f>'r-in'!Y311</f>
        <v>0.14544582476929269</v>
      </c>
      <c r="M357" s="81">
        <f>'r-in'!Z311</f>
        <v>4221.7002474577712</v>
      </c>
      <c r="N357" s="162">
        <f>'r-in'!AA311</f>
        <v>6.3177999747694402</v>
      </c>
      <c r="O357" s="81">
        <f>'r-in'!AB311</f>
        <v>118495.2355845139</v>
      </c>
      <c r="P357" s="162">
        <f>'r-in'!AC311</f>
        <v>0.3196868606688032</v>
      </c>
      <c r="Q357" s="81">
        <f>'r-in'!AD311</f>
        <v>537403.53957253008</v>
      </c>
      <c r="R357" s="162">
        <f>'r-in'!AE311</f>
        <v>0.1651269889785156</v>
      </c>
      <c r="S357" s="157">
        <f>'r-in'!AF311</f>
        <v>4.3752427806855394</v>
      </c>
      <c r="T357" s="157">
        <f>'r-in'!AG311</f>
        <v>0.11988837625737035</v>
      </c>
      <c r="U357" s="157">
        <f>'r-in'!AH311</f>
        <v>4.5375508679079761</v>
      </c>
      <c r="V357" s="157">
        <f>'r-in'!AI311</f>
        <v>0.28957815473685977</v>
      </c>
      <c r="W357" s="158">
        <v>278</v>
      </c>
      <c r="X357" s="764">
        <f t="shared" si="123"/>
        <v>0.88367926401203167</v>
      </c>
      <c r="Y357" s="387">
        <f t="shared" si="125"/>
        <v>4.0097396113700761</v>
      </c>
      <c r="Z357" s="640">
        <f t="shared" si="126"/>
        <v>0.11988837625737035</v>
      </c>
      <c r="AA357" s="473">
        <f t="shared" si="128"/>
        <v>-11.039681497083231</v>
      </c>
      <c r="AB357" s="478">
        <f t="shared" si="129"/>
        <v>1.1856484676827659</v>
      </c>
      <c r="AC357" s="108">
        <v>1</v>
      </c>
      <c r="AD357" s="159">
        <f t="shared" si="124"/>
        <v>7.1336235325154998E-2</v>
      </c>
      <c r="AE357" s="160">
        <v>285</v>
      </c>
      <c r="AF357" s="160">
        <v>14</v>
      </c>
      <c r="AG357" s="160">
        <v>2.1</v>
      </c>
      <c r="AH357" s="303">
        <f t="shared" si="127"/>
        <v>0.1895300559826574</v>
      </c>
      <c r="AI357" s="86">
        <f t="shared" si="130"/>
        <v>127.29552267386687</v>
      </c>
      <c r="AJ357" s="86"/>
      <c r="AK357" s="86"/>
      <c r="AL357" s="86"/>
      <c r="AM357" s="86"/>
      <c r="AN357" s="536"/>
      <c r="AP357" s="53"/>
      <c r="AQ357" s="108"/>
      <c r="AR357" s="110"/>
      <c r="AS357" s="724"/>
      <c r="AT357" s="750"/>
      <c r="AU357" s="750"/>
      <c r="AV357" s="751"/>
      <c r="AW357" s="108"/>
      <c r="AX357" s="724"/>
      <c r="AY357" s="53"/>
      <c r="AZ357" s="108"/>
      <c r="BA357" s="771"/>
      <c r="BB357" s="108"/>
      <c r="BC357" s="724"/>
      <c r="BD357" s="724"/>
      <c r="BE357" s="724"/>
      <c r="BF357" s="634"/>
      <c r="BG357" s="108"/>
      <c r="BH357" s="725"/>
      <c r="BI357" s="725"/>
      <c r="BJ357" s="725"/>
      <c r="BK357" s="725"/>
      <c r="BL357" s="725"/>
      <c r="BM357" s="725"/>
      <c r="BN357" s="475"/>
      <c r="BO357" s="475"/>
      <c r="BP357" s="475"/>
      <c r="BY357" s="14">
        <v>9.9860000000000007</v>
      </c>
    </row>
    <row r="358" spans="1:77" ht="15" customHeight="1" x14ac:dyDescent="0.2">
      <c r="A358" s="782" t="str">
        <f>'r-in'!A312</f>
        <v>279_U</v>
      </c>
      <c r="B358" s="707" t="s">
        <v>1134</v>
      </c>
      <c r="C358" s="162">
        <f>'r-in'!P312</f>
        <v>5732.3500527316828</v>
      </c>
      <c r="D358" s="162">
        <f>'r-in'!Q312</f>
        <v>3.6653687885240824</v>
      </c>
      <c r="E358" s="81">
        <f>'r-in'!R312</f>
        <v>154104.04509615412</v>
      </c>
      <c r="F358" s="162">
        <f>'r-in'!S312</f>
        <v>0.34940012630423012</v>
      </c>
      <c r="G358" s="81">
        <f>'r-in'!T312</f>
        <v>2846.9329671391451</v>
      </c>
      <c r="H358" s="162">
        <f>'r-in'!U312</f>
        <v>23.152014383237621</v>
      </c>
      <c r="I358" s="81">
        <f>'r-in'!V312</f>
        <v>4412.7939690854182</v>
      </c>
      <c r="J358" s="162">
        <f>'r-in'!W312</f>
        <v>7.7132040878073873</v>
      </c>
      <c r="K358" s="81">
        <f>'r-in'!X312</f>
        <v>608450.26003409422</v>
      </c>
      <c r="L358" s="162">
        <f>'r-in'!Y312</f>
        <v>0.38806001218587327</v>
      </c>
      <c r="M358" s="81">
        <f>'r-in'!Z312</f>
        <v>3531.533111456783</v>
      </c>
      <c r="N358" s="162">
        <f>'r-in'!AA312</f>
        <v>5.8783177737943673</v>
      </c>
      <c r="O358" s="81">
        <f>'r-in'!AB312</f>
        <v>118190.91103613569</v>
      </c>
      <c r="P358" s="162">
        <f>'r-in'!AC312</f>
        <v>0.54699574380729787</v>
      </c>
      <c r="Q358" s="81">
        <f>'r-in'!AD312</f>
        <v>537984.32692178199</v>
      </c>
      <c r="R358" s="162">
        <f>'r-in'!AE312</f>
        <v>0.43430192853099603</v>
      </c>
      <c r="S358" s="157">
        <f>'r-in'!AF312</f>
        <v>4.3883046063684414</v>
      </c>
      <c r="T358" s="157">
        <f>'r-in'!AG312</f>
        <v>0.12854394436487196</v>
      </c>
      <c r="U358" s="157">
        <f>'r-in'!AH312</f>
        <v>4.5547085504344782</v>
      </c>
      <c r="V358" s="157">
        <f>'r-in'!AI312</f>
        <v>0.28905859667586242</v>
      </c>
      <c r="W358" s="158">
        <v>279</v>
      </c>
      <c r="X358" s="764">
        <f t="shared" si="123"/>
        <v>0.88369686955550408</v>
      </c>
      <c r="Y358" s="387">
        <f t="shared" si="125"/>
        <v>4.024981687756636</v>
      </c>
      <c r="Z358" s="640">
        <f t="shared" si="126"/>
        <v>0.12854394436487196</v>
      </c>
      <c r="AA358" s="473">
        <f t="shared" si="128"/>
        <v>-7.2803828445835439</v>
      </c>
      <c r="AB358" s="478">
        <f t="shared" si="129"/>
        <v>1.2760809523754144</v>
      </c>
      <c r="AC358" s="108">
        <v>1</v>
      </c>
      <c r="AD358" s="159">
        <f t="shared" si="124"/>
        <v>7.1336235325154998E-2</v>
      </c>
      <c r="AE358" s="160">
        <v>285</v>
      </c>
      <c r="AF358" s="160">
        <v>14</v>
      </c>
      <c r="AG358" s="160">
        <v>2.1</v>
      </c>
      <c r="AH358" s="303">
        <f t="shared" si="127"/>
        <v>0.19002035496862346</v>
      </c>
      <c r="AI358" s="86">
        <f t="shared" si="130"/>
        <v>152.33733054250186</v>
      </c>
      <c r="AJ358" s="86"/>
      <c r="AK358" s="86"/>
      <c r="AL358" s="775"/>
      <c r="AM358" s="775"/>
      <c r="AN358" s="536"/>
      <c r="AP358" s="53"/>
      <c r="AQ358" s="108"/>
      <c r="AR358" s="108"/>
      <c r="AS358" s="724"/>
      <c r="AT358" s="724"/>
      <c r="AU358" s="724"/>
      <c r="AV358" s="634"/>
      <c r="AW358" s="108"/>
      <c r="AX358" s="725"/>
      <c r="AY358" s="53"/>
      <c r="AZ358" s="108"/>
      <c r="BA358" s="771"/>
      <c r="BB358" s="108"/>
      <c r="BC358" s="724"/>
      <c r="BD358" s="724"/>
      <c r="BE358" s="724"/>
      <c r="BF358" s="634"/>
      <c r="BG358" s="108"/>
      <c r="BH358" s="725"/>
      <c r="BI358" s="725"/>
      <c r="BJ358" s="725"/>
      <c r="BK358" s="725"/>
      <c r="BL358" s="634"/>
      <c r="BM358" s="724"/>
      <c r="BN358" s="475"/>
      <c r="BO358" s="475"/>
      <c r="BP358" s="10"/>
      <c r="BY358" s="14">
        <v>9.9860000000000007</v>
      </c>
    </row>
    <row r="359" spans="1:77" ht="15" customHeight="1" x14ac:dyDescent="0.2">
      <c r="A359" s="782" t="str">
        <f>'r-in'!A313</f>
        <v>280_U</v>
      </c>
      <c r="B359" s="707" t="s">
        <v>1134</v>
      </c>
      <c r="C359" s="162">
        <f>'r-in'!P313</f>
        <v>5591.0730218828739</v>
      </c>
      <c r="D359" s="162">
        <f>'r-in'!Q313</f>
        <v>3.5302388065092885</v>
      </c>
      <c r="E359" s="81">
        <f>'r-in'!R313</f>
        <v>154198.19618552722</v>
      </c>
      <c r="F359" s="162">
        <f>'r-in'!S313</f>
        <v>0.67652366932106078</v>
      </c>
      <c r="G359" s="81">
        <f>'r-in'!T313</f>
        <v>1396.8683305525358</v>
      </c>
      <c r="H359" s="162">
        <f>'r-in'!U313</f>
        <v>39.758182746820921</v>
      </c>
      <c r="I359" s="81">
        <f>'r-in'!V313</f>
        <v>3672.9834867035552</v>
      </c>
      <c r="J359" s="162">
        <f>'r-in'!W313</f>
        <v>7.8695130293259723</v>
      </c>
      <c r="K359" s="81">
        <f>'r-in'!X313</f>
        <v>607443.41277598741</v>
      </c>
      <c r="L359" s="162">
        <f>'r-in'!Y313</f>
        <v>0.75623122921609898</v>
      </c>
      <c r="M359" s="81">
        <f>'r-in'!Z313</f>
        <v>3154.9391092357087</v>
      </c>
      <c r="N359" s="162">
        <f>'r-in'!AA313</f>
        <v>7.7757317822706522</v>
      </c>
      <c r="O359" s="81">
        <f>'r-in'!AB313</f>
        <v>118401.39955826152</v>
      </c>
      <c r="P359" s="162">
        <f>'r-in'!AC313</f>
        <v>0.9038204701936019</v>
      </c>
      <c r="Q359" s="81">
        <f>'r-in'!AD313</f>
        <v>536225.10574476316</v>
      </c>
      <c r="R359" s="162">
        <f>'r-in'!AE313</f>
        <v>0.83981477138520577</v>
      </c>
      <c r="S359" s="157">
        <f>'r-in'!AF313</f>
        <v>4.3934549730749177</v>
      </c>
      <c r="T359" s="157">
        <f>'r-in'!AG313</f>
        <v>0.11525362168975253</v>
      </c>
      <c r="U359" s="157">
        <f>'r-in'!AH313</f>
        <v>4.5327708470169279</v>
      </c>
      <c r="V359" s="157">
        <f>'r-in'!AI313</f>
        <v>0.26496724033086816</v>
      </c>
      <c r="W359" s="158">
        <v>280</v>
      </c>
      <c r="X359" s="764">
        <f t="shared" si="123"/>
        <v>0.8837149321538903</v>
      </c>
      <c r="Y359" s="387">
        <f t="shared" si="125"/>
        <v>4.005677281540696</v>
      </c>
      <c r="Z359" s="640">
        <f t="shared" si="126"/>
        <v>0.11525362168975253</v>
      </c>
      <c r="AA359" s="473">
        <f t="shared" si="128"/>
        <v>-12.041612642570975</v>
      </c>
      <c r="AB359" s="478">
        <f t="shared" si="129"/>
        <v>1.1386578222170058</v>
      </c>
      <c r="AC359" s="108">
        <v>1</v>
      </c>
      <c r="AD359" s="159">
        <f t="shared" si="124"/>
        <v>7.1336235325154998E-2</v>
      </c>
      <c r="AE359" s="160">
        <v>285</v>
      </c>
      <c r="AF359" s="160">
        <v>14</v>
      </c>
      <c r="AG359" s="160">
        <v>2.1</v>
      </c>
      <c r="AH359" s="303">
        <f t="shared" si="127"/>
        <v>0.18968810027045782</v>
      </c>
      <c r="AI359" s="86">
        <f t="shared" si="130"/>
        <v>169.96369412488121</v>
      </c>
      <c r="AJ359" s="86"/>
      <c r="AK359" s="86"/>
      <c r="AL359" s="86"/>
      <c r="AM359" s="86"/>
      <c r="AN359" s="536"/>
      <c r="AP359" s="53"/>
      <c r="AQ359" s="108"/>
      <c r="AR359" s="110"/>
      <c r="AS359" s="724"/>
      <c r="AT359" s="750"/>
      <c r="AU359" s="750"/>
      <c r="AV359" s="751"/>
      <c r="AW359" s="108"/>
      <c r="AX359" s="724"/>
      <c r="AY359" s="53"/>
      <c r="AZ359" s="108"/>
      <c r="BA359" s="771"/>
      <c r="BB359" s="108"/>
      <c r="BC359" s="724"/>
      <c r="BD359" s="724"/>
      <c r="BE359" s="724"/>
      <c r="BF359" s="634"/>
      <c r="BG359" s="108"/>
      <c r="BH359" s="725"/>
      <c r="BI359" s="725"/>
      <c r="BJ359" s="725"/>
      <c r="BK359" s="725"/>
      <c r="BL359" s="725"/>
      <c r="BM359" s="725"/>
      <c r="BN359" s="475"/>
      <c r="BO359" s="475"/>
      <c r="BP359" s="475"/>
      <c r="BY359" s="14">
        <v>9.9860000000000007</v>
      </c>
    </row>
    <row r="360" spans="1:77" ht="15" customHeight="1" x14ac:dyDescent="0.2">
      <c r="A360" s="782" t="str">
        <f>'r-in'!A314</f>
        <v>281_U</v>
      </c>
      <c r="B360" s="707" t="s">
        <v>1134</v>
      </c>
      <c r="C360" s="162">
        <f>'r-in'!P314</f>
        <v>5721.4889886941801</v>
      </c>
      <c r="D360" s="162">
        <f>'r-in'!Q314</f>
        <v>3.013214594174062</v>
      </c>
      <c r="E360" s="81">
        <f>'r-in'!R314</f>
        <v>151295.23640643153</v>
      </c>
      <c r="F360" s="162">
        <f>'r-in'!S314</f>
        <v>0.17885238772084833</v>
      </c>
      <c r="G360" s="81">
        <f>'r-in'!T314</f>
        <v>1562.4263775932113</v>
      </c>
      <c r="H360" s="162">
        <f>'r-in'!U314</f>
        <v>36.308700853031944</v>
      </c>
      <c r="I360" s="81">
        <f>'r-in'!V314</f>
        <v>3819.4705948379637</v>
      </c>
      <c r="J360" s="162">
        <f>'r-in'!W314</f>
        <v>7.2091930529076205</v>
      </c>
      <c r="K360" s="81">
        <f>'r-in'!X314</f>
        <v>596276.38538852741</v>
      </c>
      <c r="L360" s="162">
        <f>'r-in'!Y314</f>
        <v>0.12855358395734412</v>
      </c>
      <c r="M360" s="81">
        <f>'r-in'!Z314</f>
        <v>3143.1022626178114</v>
      </c>
      <c r="N360" s="162">
        <f>'r-in'!AA314</f>
        <v>6.9377125399139725</v>
      </c>
      <c r="O360" s="81">
        <f>'r-in'!AB314</f>
        <v>116063.05339637514</v>
      </c>
      <c r="P360" s="162">
        <f>'r-in'!AC314</f>
        <v>0.28012665696786621</v>
      </c>
      <c r="Q360" s="81">
        <f>'r-in'!AD314</f>
        <v>526959.08647225238</v>
      </c>
      <c r="R360" s="162">
        <f>'r-in'!AE314</f>
        <v>0.15998414229379126</v>
      </c>
      <c r="S360" s="157">
        <f>'r-in'!AF314</f>
        <v>4.3963363367582007</v>
      </c>
      <c r="T360" s="157">
        <f>'r-in'!AG314</f>
        <v>0.15396051968221042</v>
      </c>
      <c r="U360" s="157">
        <f>'r-in'!AH314</f>
        <v>4.5419430025470859</v>
      </c>
      <c r="V360" s="157">
        <f>'r-in'!AI314</f>
        <v>0.24241448097390797</v>
      </c>
      <c r="W360" s="158">
        <v>281</v>
      </c>
      <c r="X360" s="764">
        <f t="shared" si="123"/>
        <v>0.88373346439341827</v>
      </c>
      <c r="Y360" s="387">
        <f t="shared" si="125"/>
        <v>4.0138670247183805</v>
      </c>
      <c r="Z360" s="640">
        <f t="shared" si="126"/>
        <v>0.15396051968221042</v>
      </c>
      <c r="AA360" s="473">
        <f t="shared" si="128"/>
        <v>-10.021698182666071</v>
      </c>
      <c r="AB360" s="478">
        <f t="shared" si="129"/>
        <v>1.5241757382190588</v>
      </c>
      <c r="AC360" s="108">
        <v>1</v>
      </c>
      <c r="AD360" s="159">
        <f t="shared" si="124"/>
        <v>7.1336235325154998E-2</v>
      </c>
      <c r="AE360" s="160">
        <v>285</v>
      </c>
      <c r="AF360" s="160">
        <v>14</v>
      </c>
      <c r="AG360" s="160">
        <v>2.1</v>
      </c>
      <c r="AH360" s="303">
        <f t="shared" si="127"/>
        <v>0.18669896898732988</v>
      </c>
      <c r="AI360" s="86">
        <f t="shared" si="130"/>
        <v>167.65572432675523</v>
      </c>
      <c r="AJ360" s="86"/>
      <c r="AK360" s="86"/>
      <c r="AL360" s="775"/>
      <c r="AM360" s="775"/>
      <c r="AN360" s="536"/>
      <c r="AP360" s="53"/>
      <c r="AQ360" s="108"/>
      <c r="AR360" s="108"/>
      <c r="AS360" s="724"/>
      <c r="AT360" s="724"/>
      <c r="AU360" s="724"/>
      <c r="AV360" s="634"/>
      <c r="AW360" s="108"/>
      <c r="AX360" s="725"/>
      <c r="AY360" s="53"/>
      <c r="AZ360" s="108"/>
      <c r="BA360" s="771"/>
      <c r="BB360" s="108"/>
      <c r="BC360" s="724"/>
      <c r="BD360" s="724"/>
      <c r="BE360" s="724"/>
      <c r="BF360" s="634"/>
      <c r="BG360" s="108"/>
      <c r="BH360" s="725"/>
      <c r="BI360" s="725"/>
      <c r="BJ360" s="725"/>
      <c r="BK360" s="725"/>
      <c r="BL360" s="634"/>
      <c r="BM360" s="724"/>
      <c r="BN360" s="475"/>
      <c r="BO360" s="475"/>
      <c r="BP360" s="10"/>
      <c r="BY360" s="14">
        <v>9.9860000000000007</v>
      </c>
    </row>
    <row r="361" spans="1:77" ht="15" customHeight="1" x14ac:dyDescent="0.2">
      <c r="A361" s="782" t="str">
        <f>'r-in'!A315</f>
        <v>282_U</v>
      </c>
      <c r="B361" s="707" t="s">
        <v>1134</v>
      </c>
      <c r="C361" s="162">
        <f>'r-in'!P315</f>
        <v>5866.4769600538475</v>
      </c>
      <c r="D361" s="162">
        <f>'r-in'!Q315</f>
        <v>3.5719683008392731</v>
      </c>
      <c r="E361" s="81">
        <f>'r-in'!R315</f>
        <v>151142.31182647121</v>
      </c>
      <c r="F361" s="162">
        <f>'r-in'!S315</f>
        <v>0.15498207491872631</v>
      </c>
      <c r="G361" s="81">
        <f>'r-in'!T315</f>
        <v>4245.1894482617172</v>
      </c>
      <c r="H361" s="162">
        <f>'r-in'!U315</f>
        <v>11.844339094716185</v>
      </c>
      <c r="I361" s="81">
        <f>'r-in'!V315</f>
        <v>5125.0313610077465</v>
      </c>
      <c r="J361" s="162">
        <f>'r-in'!W315</f>
        <v>4.6222382330933716</v>
      </c>
      <c r="K361" s="81">
        <f>'r-in'!X315</f>
        <v>593448.82276889414</v>
      </c>
      <c r="L361" s="162">
        <f>'r-in'!Y315</f>
        <v>0.14566857951206721</v>
      </c>
      <c r="M361" s="81">
        <f>'r-in'!Z315</f>
        <v>3339.9011968098639</v>
      </c>
      <c r="N361" s="162">
        <f>'r-in'!AA315</f>
        <v>8.1859465828753883</v>
      </c>
      <c r="O361" s="81">
        <f>'r-in'!AB315</f>
        <v>114892.0434972338</v>
      </c>
      <c r="P361" s="162">
        <f>'r-in'!AC315</f>
        <v>0.22976951700713527</v>
      </c>
      <c r="Q361" s="81">
        <f>'r-in'!AD315</f>
        <v>524265.19783065992</v>
      </c>
      <c r="R361" s="162">
        <f>'r-in'!AE315</f>
        <v>0.18371903435244427</v>
      </c>
      <c r="S361" s="157">
        <f>'r-in'!AF315</f>
        <v>4.3685060101682573</v>
      </c>
      <c r="T361" s="157">
        <f>'r-in'!AG315</f>
        <v>0.12541930345639893</v>
      </c>
      <c r="U361" s="157">
        <f>'r-in'!AH315</f>
        <v>4.5639615506016886</v>
      </c>
      <c r="V361" s="157">
        <f>'r-in'!AI315</f>
        <v>0.21616553358212312</v>
      </c>
      <c r="W361" s="158">
        <v>282</v>
      </c>
      <c r="X361" s="764">
        <f t="shared" si="123"/>
        <v>0.88375247898199594</v>
      </c>
      <c r="Y361" s="387">
        <f t="shared" si="125"/>
        <v>4.0334123343227564</v>
      </c>
      <c r="Z361" s="640">
        <f t="shared" si="126"/>
        <v>0.12541930345639893</v>
      </c>
      <c r="AA361" s="473">
        <f t="shared" si="128"/>
        <v>-5.201052084657487</v>
      </c>
      <c r="AB361" s="478">
        <f t="shared" si="129"/>
        <v>1.2476699112670131</v>
      </c>
      <c r="AC361" s="108">
        <v>1</v>
      </c>
      <c r="AD361" s="159">
        <f t="shared" si="124"/>
        <v>7.1336235325154998E-2</v>
      </c>
      <c r="AE361" s="160">
        <v>285</v>
      </c>
      <c r="AF361" s="160">
        <v>14</v>
      </c>
      <c r="AG361" s="160">
        <v>2.1</v>
      </c>
      <c r="AH361" s="303">
        <f t="shared" si="127"/>
        <v>0.18603638632174749</v>
      </c>
      <c r="AI361" s="86">
        <f t="shared" si="130"/>
        <v>156.97027155516349</v>
      </c>
      <c r="AJ361" s="86"/>
      <c r="AK361" s="86"/>
      <c r="AL361" s="86"/>
      <c r="AM361" s="86"/>
      <c r="AN361" s="536"/>
      <c r="AP361" s="53"/>
      <c r="AQ361" s="108"/>
      <c r="AR361" s="110"/>
      <c r="AS361" s="724"/>
      <c r="AT361" s="750"/>
      <c r="AU361" s="750"/>
      <c r="AV361" s="751"/>
      <c r="AW361" s="108"/>
      <c r="AX361" s="724"/>
      <c r="AY361" s="53"/>
      <c r="AZ361" s="108"/>
      <c r="BA361" s="771"/>
      <c r="BB361" s="108"/>
      <c r="BC361" s="724"/>
      <c r="BD361" s="724"/>
      <c r="BE361" s="724"/>
      <c r="BF361" s="634"/>
      <c r="BG361" s="108"/>
      <c r="BH361" s="725"/>
      <c r="BI361" s="725"/>
      <c r="BJ361" s="725"/>
      <c r="BK361" s="725"/>
      <c r="BL361" s="725"/>
      <c r="BM361" s="725"/>
      <c r="BN361" s="475"/>
      <c r="BO361" s="475"/>
      <c r="BP361" s="475"/>
      <c r="BY361" s="14">
        <v>9.9860000000000007</v>
      </c>
    </row>
    <row r="362" spans="1:77" ht="15" customHeight="1" x14ac:dyDescent="0.2">
      <c r="A362" s="782" t="str">
        <f>'r-in'!A316</f>
        <v>283_U</v>
      </c>
      <c r="B362" s="707" t="s">
        <v>1134</v>
      </c>
      <c r="C362" s="162">
        <f>'r-in'!P316</f>
        <v>5940.8957576775983</v>
      </c>
      <c r="D362" s="162">
        <f>'r-in'!Q316</f>
        <v>3.4172729744870787</v>
      </c>
      <c r="E362" s="81">
        <f>'r-in'!R316</f>
        <v>155749.79934651227</v>
      </c>
      <c r="F362" s="162">
        <f>'r-in'!S316</f>
        <v>0.16644180947050627</v>
      </c>
      <c r="G362" s="81">
        <f>'r-in'!T316</f>
        <v>2291.8051909650121</v>
      </c>
      <c r="H362" s="162">
        <f>'r-in'!U316</f>
        <v>25.668039438641983</v>
      </c>
      <c r="I362" s="81">
        <f>'r-in'!V316</f>
        <v>4272.097274045911</v>
      </c>
      <c r="J362" s="162">
        <f>'r-in'!W316</f>
        <v>6.9365910363805545</v>
      </c>
      <c r="K362" s="81">
        <f>'r-in'!X316</f>
        <v>616373.40981144994</v>
      </c>
      <c r="L362" s="162">
        <f>'r-in'!Y316</f>
        <v>0.16779445310096999</v>
      </c>
      <c r="M362" s="81">
        <f>'r-in'!Z316</f>
        <v>4052.0025985517595</v>
      </c>
      <c r="N362" s="162">
        <f>'r-in'!AA316</f>
        <v>7.0161881302943803</v>
      </c>
      <c r="O362" s="81">
        <f>'r-in'!AB316</f>
        <v>120355.54732176762</v>
      </c>
      <c r="P362" s="162">
        <f>'r-in'!AC316</f>
        <v>0.30119429202743409</v>
      </c>
      <c r="Q362" s="81">
        <f>'r-in'!AD316</f>
        <v>546758.05473753146</v>
      </c>
      <c r="R362" s="162">
        <f>'r-in'!AE316</f>
        <v>0.19271866043533489</v>
      </c>
      <c r="S362" s="157">
        <f>'r-in'!AF316</f>
        <v>4.3873857290394715</v>
      </c>
      <c r="T362" s="157">
        <f>'r-in'!AG316</f>
        <v>0.11179263393005577</v>
      </c>
      <c r="U362" s="157">
        <f>'r-in'!AH316</f>
        <v>4.5444611467648963</v>
      </c>
      <c r="V362" s="157">
        <f>'r-in'!AI316</f>
        <v>0.24670479181256241</v>
      </c>
      <c r="W362" s="158">
        <v>283</v>
      </c>
      <c r="X362" s="764">
        <f t="shared" si="123"/>
        <v>0.88377198874937568</v>
      </c>
      <c r="Y362" s="387">
        <f t="shared" si="125"/>
        <v>4.0162674654706807</v>
      </c>
      <c r="Z362" s="640">
        <f t="shared" si="126"/>
        <v>0.11179263393005577</v>
      </c>
      <c r="AA362" s="473">
        <f t="shared" si="128"/>
        <v>-9.4296545885607088</v>
      </c>
      <c r="AB362" s="478">
        <f t="shared" si="129"/>
        <v>1.1073846800655502</v>
      </c>
      <c r="AC362" s="108">
        <v>1</v>
      </c>
      <c r="AD362" s="159">
        <f t="shared" si="124"/>
        <v>7.1336235325154998E-2</v>
      </c>
      <c r="AE362" s="160">
        <v>285</v>
      </c>
      <c r="AF362" s="160">
        <v>14</v>
      </c>
      <c r="AG362" s="160">
        <v>2.1</v>
      </c>
      <c r="AH362" s="303">
        <f t="shared" si="127"/>
        <v>0.19432729030784854</v>
      </c>
      <c r="AI362" s="86">
        <f t="shared" si="130"/>
        <v>134.93526754720003</v>
      </c>
      <c r="AJ362" s="86"/>
      <c r="AK362" s="86"/>
      <c r="AL362" s="775"/>
      <c r="AM362" s="775"/>
      <c r="AN362" s="536"/>
      <c r="AP362" s="53"/>
      <c r="AQ362" s="108"/>
      <c r="AR362" s="108"/>
      <c r="AS362" s="724"/>
      <c r="AT362" s="724"/>
      <c r="AU362" s="724"/>
      <c r="AV362" s="634"/>
      <c r="AW362" s="108"/>
      <c r="AX362" s="725"/>
      <c r="AY362" s="53"/>
      <c r="AZ362" s="108"/>
      <c r="BA362" s="771"/>
      <c r="BB362" s="108"/>
      <c r="BC362" s="724"/>
      <c r="BD362" s="724"/>
      <c r="BE362" s="724"/>
      <c r="BF362" s="634"/>
      <c r="BG362" s="108"/>
      <c r="BH362" s="725"/>
      <c r="BI362" s="725"/>
      <c r="BJ362" s="725"/>
      <c r="BK362" s="725"/>
      <c r="BL362" s="634"/>
      <c r="BM362" s="724"/>
      <c r="BN362" s="475"/>
      <c r="BO362" s="475"/>
      <c r="BP362" s="10"/>
      <c r="BY362" s="14">
        <v>9.9860000000000007</v>
      </c>
    </row>
    <row r="363" spans="1:77" ht="15" customHeight="1" x14ac:dyDescent="0.2">
      <c r="A363" s="782" t="str">
        <f>'r-in'!A317</f>
        <v>284_U</v>
      </c>
      <c r="B363" s="707" t="s">
        <v>1134</v>
      </c>
      <c r="C363" s="162">
        <f>'r-in'!P317</f>
        <v>5840.7446022968306</v>
      </c>
      <c r="D363" s="162">
        <f>'r-in'!Q317</f>
        <v>3.7486455712078302</v>
      </c>
      <c r="E363" s="81">
        <f>'r-in'!R317</f>
        <v>150659.49323690601</v>
      </c>
      <c r="F363" s="162">
        <f>'r-in'!S317</f>
        <v>0.11790345798085308</v>
      </c>
      <c r="G363" s="81">
        <f>'r-in'!T317</f>
        <v>2296.0919548449465</v>
      </c>
      <c r="H363" s="162">
        <f>'r-in'!U317</f>
        <v>22.933173277101705</v>
      </c>
      <c r="I363" s="81">
        <f>'r-in'!V317</f>
        <v>4219.7075644581764</v>
      </c>
      <c r="J363" s="162">
        <f>'r-in'!W317</f>
        <v>5.9080536018005443</v>
      </c>
      <c r="K363" s="81">
        <f>'r-in'!X317</f>
        <v>591016.27114838874</v>
      </c>
      <c r="L363" s="162">
        <f>'r-in'!Y317</f>
        <v>0.10192300060246455</v>
      </c>
      <c r="M363" s="81">
        <f>'r-in'!Z317</f>
        <v>3369.1577298943853</v>
      </c>
      <c r="N363" s="162">
        <f>'r-in'!AA317</f>
        <v>6.8947408402474233</v>
      </c>
      <c r="O363" s="81">
        <f>'r-in'!AB317</f>
        <v>115420.69586690875</v>
      </c>
      <c r="P363" s="162">
        <f>'r-in'!AC317</f>
        <v>0.25264582035009903</v>
      </c>
      <c r="Q363" s="81">
        <f>'r-in'!AD317</f>
        <v>522210.53208045318</v>
      </c>
      <c r="R363" s="162">
        <f>'r-in'!AE317</f>
        <v>0.11400150394320854</v>
      </c>
      <c r="S363" s="157">
        <f>'r-in'!AF317</f>
        <v>4.3652362922578414</v>
      </c>
      <c r="T363" s="157">
        <f>'r-in'!AG317</f>
        <v>0.1349527098824948</v>
      </c>
      <c r="U363" s="157">
        <f>'r-in'!AH317</f>
        <v>4.5259706075668245</v>
      </c>
      <c r="V363" s="157">
        <f>'r-in'!AI317</f>
        <v>0.22658701248753249</v>
      </c>
      <c r="W363" s="158">
        <v>284</v>
      </c>
      <c r="X363" s="764">
        <f t="shared" si="123"/>
        <v>0.88379200664731938</v>
      </c>
      <c r="Y363" s="387">
        <f t="shared" si="125"/>
        <v>4.0000166452882713</v>
      </c>
      <c r="Z363" s="640">
        <f t="shared" si="126"/>
        <v>0.1349527098824948</v>
      </c>
      <c r="AA363" s="473">
        <f t="shared" si="128"/>
        <v>-13.437749343132023</v>
      </c>
      <c r="AB363" s="478">
        <f t="shared" si="129"/>
        <v>1.331392491939253</v>
      </c>
      <c r="AC363" s="108">
        <v>1</v>
      </c>
      <c r="AD363" s="159">
        <f t="shared" si="124"/>
        <v>7.1336235325154998E-2</v>
      </c>
      <c r="AE363" s="160">
        <v>285</v>
      </c>
      <c r="AF363" s="160">
        <v>14</v>
      </c>
      <c r="AG363" s="160">
        <v>2.1</v>
      </c>
      <c r="AH363" s="303">
        <f t="shared" si="127"/>
        <v>0.18590282869479777</v>
      </c>
      <c r="AI363" s="86">
        <f t="shared" si="130"/>
        <v>154.99735362547813</v>
      </c>
      <c r="AJ363" s="86"/>
      <c r="AK363" s="86"/>
      <c r="AL363" s="86"/>
      <c r="AM363" s="86"/>
      <c r="AN363" s="536"/>
      <c r="AP363" s="53"/>
      <c r="AQ363" s="108"/>
      <c r="AR363" s="110"/>
      <c r="AS363" s="724"/>
      <c r="AT363" s="750"/>
      <c r="AU363" s="750"/>
      <c r="AV363" s="751"/>
      <c r="AW363" s="108"/>
      <c r="AX363" s="724"/>
      <c r="AY363" s="53"/>
      <c r="AZ363" s="108"/>
      <c r="BA363" s="771"/>
      <c r="BB363" s="108"/>
      <c r="BC363" s="724"/>
      <c r="BD363" s="724"/>
      <c r="BE363" s="724"/>
      <c r="BF363" s="634"/>
      <c r="BG363" s="108"/>
      <c r="BH363" s="725"/>
      <c r="BI363" s="725"/>
      <c r="BJ363" s="725"/>
      <c r="BK363" s="725"/>
      <c r="BL363" s="725"/>
      <c r="BM363" s="725"/>
      <c r="BN363" s="475"/>
      <c r="BO363" s="475"/>
      <c r="BP363" s="475"/>
      <c r="BY363" s="14">
        <v>9.9860000000000007</v>
      </c>
    </row>
    <row r="364" spans="1:77" ht="15" customHeight="1" x14ac:dyDescent="0.2">
      <c r="A364" s="782" t="str">
        <f>'r-in'!A318</f>
        <v>285_U</v>
      </c>
      <c r="B364" s="707" t="s">
        <v>1134</v>
      </c>
      <c r="C364" s="162">
        <f>'r-in'!P318</f>
        <v>6023.3083554965533</v>
      </c>
      <c r="D364" s="162">
        <f>'r-in'!Q318</f>
        <v>3.1967798300324679</v>
      </c>
      <c r="E364" s="81">
        <f>'r-in'!R318</f>
        <v>155466.95331824903</v>
      </c>
      <c r="F364" s="162">
        <f>'r-in'!S318</f>
        <v>0.13623767248669222</v>
      </c>
      <c r="G364" s="81">
        <f>'r-in'!T318</f>
        <v>1892.2773467959425</v>
      </c>
      <c r="H364" s="162">
        <f>'r-in'!U318</f>
        <v>37.307276796086754</v>
      </c>
      <c r="I364" s="81">
        <f>'r-in'!V318</f>
        <v>4134.1093462854342</v>
      </c>
      <c r="J364" s="162">
        <f>'r-in'!W318</f>
        <v>8.3894188360257829</v>
      </c>
      <c r="K364" s="81">
        <f>'r-in'!X318</f>
        <v>614635.72726986883</v>
      </c>
      <c r="L364" s="162">
        <f>'r-in'!Y318</f>
        <v>0.13590035082869401</v>
      </c>
      <c r="M364" s="81">
        <f>'r-in'!Z318</f>
        <v>3129.4146469031748</v>
      </c>
      <c r="N364" s="162">
        <f>'r-in'!AA318</f>
        <v>7.6728752008409957</v>
      </c>
      <c r="O364" s="81">
        <f>'r-in'!AB318</f>
        <v>120247.24745316152</v>
      </c>
      <c r="P364" s="162">
        <f>'r-in'!AC318</f>
        <v>0.32995844452889894</v>
      </c>
      <c r="Q364" s="81">
        <f>'r-in'!AD318</f>
        <v>546237.83941138885</v>
      </c>
      <c r="R364" s="162">
        <f>'r-in'!AE318</f>
        <v>0.14539657411642395</v>
      </c>
      <c r="S364" s="157">
        <f>'r-in'!AF318</f>
        <v>4.3919283707338375</v>
      </c>
      <c r="T364" s="157">
        <f>'r-in'!AG318</f>
        <v>0.1046208159234842</v>
      </c>
      <c r="U364" s="157">
        <f>'r-in'!AH318</f>
        <v>4.5454182333138631</v>
      </c>
      <c r="V364" s="157">
        <f>'r-in'!AI318</f>
        <v>0.29515450502574281</v>
      </c>
      <c r="W364" s="158">
        <v>285</v>
      </c>
      <c r="X364" s="764">
        <f t="shared" si="123"/>
        <v>0.88381254574977186</v>
      </c>
      <c r="Y364" s="387">
        <f t="shared" si="125"/>
        <v>4.0172976602825559</v>
      </c>
      <c r="Z364" s="640">
        <f t="shared" si="126"/>
        <v>0.1046208159234842</v>
      </c>
      <c r="AA364" s="473">
        <f t="shared" si="128"/>
        <v>-9.1755678178429001</v>
      </c>
      <c r="AB364" s="478">
        <f t="shared" si="129"/>
        <v>1.036608605318289</v>
      </c>
      <c r="AC364" s="108">
        <v>1</v>
      </c>
      <c r="AD364" s="159">
        <f t="shared" si="124"/>
        <v>7.1336235325154998E-2</v>
      </c>
      <c r="AE364" s="160">
        <v>285</v>
      </c>
      <c r="AF364" s="160">
        <v>14</v>
      </c>
      <c r="AG364" s="160">
        <v>2.1</v>
      </c>
      <c r="AH364" s="303">
        <f t="shared" si="127"/>
        <v>0.19477538851027287</v>
      </c>
      <c r="AI364" s="86">
        <f t="shared" si="130"/>
        <v>174.54952476557818</v>
      </c>
      <c r="AJ364" s="86"/>
      <c r="AK364" s="86"/>
      <c r="AL364" s="775"/>
      <c r="AM364" s="775"/>
      <c r="AN364" s="536"/>
      <c r="AP364" s="53"/>
      <c r="AQ364" s="108"/>
      <c r="AR364" s="108"/>
      <c r="AS364" s="724"/>
      <c r="AT364" s="724"/>
      <c r="AU364" s="724"/>
      <c r="AV364" s="634"/>
      <c r="AW364" s="108"/>
      <c r="AX364" s="725"/>
      <c r="AY364" s="53"/>
      <c r="AZ364" s="108"/>
      <c r="BA364" s="771"/>
      <c r="BB364" s="108"/>
      <c r="BC364" s="724"/>
      <c r="BD364" s="724"/>
      <c r="BE364" s="724"/>
      <c r="BF364" s="634"/>
      <c r="BG364" s="108"/>
      <c r="BH364" s="725"/>
      <c r="BI364" s="725"/>
      <c r="BJ364" s="725"/>
      <c r="BK364" s="725"/>
      <c r="BL364" s="634"/>
      <c r="BM364" s="724"/>
      <c r="BN364" s="475"/>
      <c r="BO364" s="475"/>
      <c r="BP364" s="10"/>
      <c r="BY364" s="14">
        <v>9.9860000000000007</v>
      </c>
    </row>
    <row r="365" spans="1:77" ht="15" customHeight="1" x14ac:dyDescent="0.2">
      <c r="A365" s="782" t="str">
        <f>'r-in'!A319</f>
        <v>286_U</v>
      </c>
      <c r="B365" s="707" t="s">
        <v>1134</v>
      </c>
      <c r="C365" s="162">
        <f>'r-in'!P319</f>
        <v>5916.8636420022212</v>
      </c>
      <c r="D365" s="162">
        <f>'r-in'!Q319</f>
        <v>3.5739831412007148</v>
      </c>
      <c r="E365" s="81">
        <f>'r-in'!R319</f>
        <v>154440.00592120746</v>
      </c>
      <c r="F365" s="162">
        <f>'r-in'!S319</f>
        <v>0.14296723373170298</v>
      </c>
      <c r="G365" s="81">
        <f>'r-in'!T319</f>
        <v>1278.9219891177786</v>
      </c>
      <c r="H365" s="162">
        <f>'r-in'!U319</f>
        <v>43.228921418760017</v>
      </c>
      <c r="I365" s="81">
        <f>'r-in'!V319</f>
        <v>3795.8447590758742</v>
      </c>
      <c r="J365" s="162">
        <f>'r-in'!W319</f>
        <v>6.5049795386839699</v>
      </c>
      <c r="K365" s="81">
        <f>'r-in'!X319</f>
        <v>610055.22685134038</v>
      </c>
      <c r="L365" s="162">
        <f>'r-in'!Y319</f>
        <v>0.1385009766272208</v>
      </c>
      <c r="M365" s="81">
        <f>'r-in'!Z319</f>
        <v>4299.476081020377</v>
      </c>
      <c r="N365" s="162">
        <f>'r-in'!AA319</f>
        <v>6.5884526655471882</v>
      </c>
      <c r="O365" s="81">
        <f>'r-in'!AB319</f>
        <v>119814.27989907026</v>
      </c>
      <c r="P365" s="162">
        <f>'r-in'!AC319</f>
        <v>0.24677690639120742</v>
      </c>
      <c r="Q365" s="81">
        <f>'r-in'!AD319</f>
        <v>540745.32969174138</v>
      </c>
      <c r="R365" s="162">
        <f>'r-in'!AE319</f>
        <v>0.16207813783294134</v>
      </c>
      <c r="S365" s="157">
        <f>'r-in'!AF319</f>
        <v>4.374873132799288</v>
      </c>
      <c r="T365" s="157">
        <f>'r-in'!AG319</f>
        <v>0.11869392957805958</v>
      </c>
      <c r="U365" s="157">
        <f>'r-in'!AH319</f>
        <v>4.5142840825010824</v>
      </c>
      <c r="V365" s="157">
        <f>'r-in'!AI319</f>
        <v>0.20551848932134828</v>
      </c>
      <c r="W365" s="158">
        <v>286</v>
      </c>
      <c r="X365" s="764">
        <f t="shared" si="123"/>
        <v>0.88383361925304094</v>
      </c>
      <c r="Y365" s="387">
        <f t="shared" si="125"/>
        <v>3.9898760389733248</v>
      </c>
      <c r="Z365" s="640">
        <f t="shared" si="126"/>
        <v>0.11869392957805958</v>
      </c>
      <c r="AA365" s="473">
        <f t="shared" si="128"/>
        <v>-15.93882378263045</v>
      </c>
      <c r="AB365" s="478">
        <f t="shared" si="129"/>
        <v>1.1680208795045175</v>
      </c>
      <c r="AC365" s="108">
        <v>1</v>
      </c>
      <c r="AD365" s="159">
        <f t="shared" si="124"/>
        <v>7.1336235325154998E-2</v>
      </c>
      <c r="AE365" s="160">
        <v>285</v>
      </c>
      <c r="AF365" s="160">
        <v>14</v>
      </c>
      <c r="AG365" s="160">
        <v>2.1</v>
      </c>
      <c r="AH365" s="303">
        <f t="shared" si="127"/>
        <v>0.19313780673080094</v>
      </c>
      <c r="AI365" s="86">
        <f t="shared" si="130"/>
        <v>125.77005186255357</v>
      </c>
      <c r="AJ365" s="86"/>
      <c r="AK365" s="86"/>
      <c r="AL365" s="86"/>
      <c r="AM365" s="86"/>
      <c r="AN365" s="536"/>
      <c r="AP365" s="53"/>
      <c r="AQ365" s="108"/>
      <c r="AR365" s="110"/>
      <c r="AS365" s="724"/>
      <c r="AT365" s="750"/>
      <c r="AU365" s="750"/>
      <c r="AV365" s="751"/>
      <c r="AW365" s="108"/>
      <c r="AX365" s="724"/>
      <c r="AY365" s="53"/>
      <c r="AZ365" s="108"/>
      <c r="BA365" s="771"/>
      <c r="BB365" s="108"/>
      <c r="BC365" s="724"/>
      <c r="BD365" s="724"/>
      <c r="BE365" s="724"/>
      <c r="BF365" s="634"/>
      <c r="BG365" s="108"/>
      <c r="BH365" s="725"/>
      <c r="BI365" s="725"/>
      <c r="BJ365" s="725"/>
      <c r="BK365" s="725"/>
      <c r="BL365" s="725"/>
      <c r="BM365" s="725"/>
      <c r="BN365" s="475"/>
      <c r="BO365" s="475"/>
      <c r="BP365" s="475"/>
      <c r="BY365" s="14">
        <v>9.9860000000000007</v>
      </c>
    </row>
    <row r="366" spans="1:77" ht="15" customHeight="1" x14ac:dyDescent="0.2">
      <c r="A366" s="782" t="str">
        <f>'r-in'!A320</f>
        <v>287_U</v>
      </c>
      <c r="B366" s="707" t="s">
        <v>1134</v>
      </c>
      <c r="C366" s="162">
        <f>'r-in'!P320</f>
        <v>5796.3244485473151</v>
      </c>
      <c r="D366" s="162">
        <f>'r-in'!Q320</f>
        <v>3.7222853955881301</v>
      </c>
      <c r="E366" s="81">
        <f>'r-in'!R320</f>
        <v>149106.49282339212</v>
      </c>
      <c r="F366" s="162">
        <f>'r-in'!S320</f>
        <v>0.13774488441629121</v>
      </c>
      <c r="G366" s="81">
        <f>'r-in'!T320</f>
        <v>2350.8183231455855</v>
      </c>
      <c r="H366" s="162">
        <f>'r-in'!U320</f>
        <v>23.250185032708494</v>
      </c>
      <c r="I366" s="81">
        <f>'r-in'!V320</f>
        <v>4220.6289999703686</v>
      </c>
      <c r="J366" s="162">
        <f>'r-in'!W320</f>
        <v>6.509179274471129</v>
      </c>
      <c r="K366" s="81">
        <f>'r-in'!X320</f>
        <v>586517.25563998346</v>
      </c>
      <c r="L366" s="162">
        <f>'r-in'!Y320</f>
        <v>0.1014190461877445</v>
      </c>
      <c r="M366" s="81">
        <f>'r-in'!Z320</f>
        <v>3881.7939850067228</v>
      </c>
      <c r="N366" s="162">
        <f>'r-in'!AA320</f>
        <v>6.1009526153874791</v>
      </c>
      <c r="O366" s="81">
        <f>'r-in'!AB320</f>
        <v>114306.32363731072</v>
      </c>
      <c r="P366" s="162">
        <f>'r-in'!AC320</f>
        <v>0.25672591419678975</v>
      </c>
      <c r="Q366" s="81">
        <f>'r-in'!AD320</f>
        <v>517883.84137178923</v>
      </c>
      <c r="R366" s="162">
        <f>'r-in'!AE320</f>
        <v>0.13377862077759839</v>
      </c>
      <c r="S366" s="157">
        <f>'r-in'!AF320</f>
        <v>4.3697862742941567</v>
      </c>
      <c r="T366" s="157">
        <f>'r-in'!AG320</f>
        <v>0.13973713620887648</v>
      </c>
      <c r="U366" s="157">
        <f>'r-in'!AH320</f>
        <v>4.5322799669108669</v>
      </c>
      <c r="V366" s="157">
        <f>'r-in'!AI320</f>
        <v>0.24643581146346463</v>
      </c>
      <c r="W366" s="158">
        <v>287</v>
      </c>
      <c r="X366" s="764">
        <f t="shared" si="123"/>
        <v>0.8838552404759813</v>
      </c>
      <c r="Y366" s="387">
        <f t="shared" si="125"/>
        <v>4.0058794000584772</v>
      </c>
      <c r="Z366" s="640">
        <f t="shared" si="126"/>
        <v>0.13973713620887648</v>
      </c>
      <c r="AA366" s="473">
        <f t="shared" si="128"/>
        <v>-11.99176222506415</v>
      </c>
      <c r="AB366" s="478">
        <f t="shared" si="129"/>
        <v>1.38061441697457</v>
      </c>
      <c r="AC366" s="108">
        <v>1</v>
      </c>
      <c r="AD366" s="159">
        <f t="shared" si="124"/>
        <v>7.1336235325154998E-2</v>
      </c>
      <c r="AE366" s="160">
        <v>285</v>
      </c>
      <c r="AF366" s="160">
        <v>14</v>
      </c>
      <c r="AG366" s="160">
        <v>2.1</v>
      </c>
      <c r="AH366" s="303">
        <f t="shared" si="127"/>
        <v>0.18528468740398404</v>
      </c>
      <c r="AI366" s="86">
        <f t="shared" si="130"/>
        <v>133.41353079841312</v>
      </c>
      <c r="AJ366" s="86"/>
      <c r="AK366" s="86"/>
      <c r="AL366" s="775"/>
      <c r="AM366" s="775"/>
      <c r="AN366" s="536"/>
      <c r="AP366" s="53"/>
      <c r="AQ366" s="108"/>
      <c r="AR366" s="108"/>
      <c r="AS366" s="724"/>
      <c r="AT366" s="724"/>
      <c r="AU366" s="724"/>
      <c r="AV366" s="634"/>
      <c r="AW366" s="108"/>
      <c r="AX366" s="725"/>
      <c r="AY366" s="53"/>
      <c r="AZ366" s="108"/>
      <c r="BA366" s="771"/>
      <c r="BB366" s="108"/>
      <c r="BC366" s="724"/>
      <c r="BD366" s="724"/>
      <c r="BE366" s="724"/>
      <c r="BF366" s="634"/>
      <c r="BG366" s="108"/>
      <c r="BH366" s="725"/>
      <c r="BI366" s="725"/>
      <c r="BJ366" s="725"/>
      <c r="BK366" s="725"/>
      <c r="BL366" s="634"/>
      <c r="BM366" s="724"/>
      <c r="BN366" s="475"/>
      <c r="BO366" s="475"/>
      <c r="BP366" s="10"/>
      <c r="BY366" s="14">
        <v>9.9860000000000007</v>
      </c>
    </row>
    <row r="367" spans="1:77" ht="15" customHeight="1" x14ac:dyDescent="0.2">
      <c r="A367" s="782" t="str">
        <f>'r-in'!A321</f>
        <v>288_U</v>
      </c>
      <c r="B367" s="707" t="s">
        <v>1134</v>
      </c>
      <c r="C367" s="162">
        <f>'r-in'!P321</f>
        <v>5736.3668753468692</v>
      </c>
      <c r="D367" s="162">
        <f>'r-in'!Q321</f>
        <v>3.0831236351633393</v>
      </c>
      <c r="E367" s="81">
        <f>'r-in'!R321</f>
        <v>149142.50196821528</v>
      </c>
      <c r="F367" s="162">
        <f>'r-in'!S321</f>
        <v>0.15462845126955174</v>
      </c>
      <c r="G367" s="81">
        <f>'r-in'!T321</f>
        <v>1838.7038740108228</v>
      </c>
      <c r="H367" s="162">
        <f>'r-in'!U321</f>
        <v>31.579855831131809</v>
      </c>
      <c r="I367" s="81">
        <f>'r-in'!V321</f>
        <v>3953.8914921182591</v>
      </c>
      <c r="J367" s="162">
        <f>'r-in'!W321</f>
        <v>6.6131458218937951</v>
      </c>
      <c r="K367" s="81">
        <f>'r-in'!X321</f>
        <v>584489.56296130002</v>
      </c>
      <c r="L367" s="162">
        <f>'r-in'!Y321</f>
        <v>0.13910392546208436</v>
      </c>
      <c r="M367" s="81">
        <f>'r-in'!Z321</f>
        <v>2614.5526983288014</v>
      </c>
      <c r="N367" s="162">
        <f>'r-in'!AA321</f>
        <v>9.5546799737814698</v>
      </c>
      <c r="O367" s="81">
        <f>'r-in'!AB321</f>
        <v>114649.88420640136</v>
      </c>
      <c r="P367" s="162">
        <f>'r-in'!AC321</f>
        <v>0.27061706010181641</v>
      </c>
      <c r="Q367" s="81">
        <f>'r-in'!AD321</f>
        <v>517363.0210184569</v>
      </c>
      <c r="R367" s="162">
        <f>'r-in'!AE321</f>
        <v>0.15488854218776896</v>
      </c>
      <c r="S367" s="157">
        <f>'r-in'!AF321</f>
        <v>4.3624380420548095</v>
      </c>
      <c r="T367" s="157">
        <f>'r-in'!AG321</f>
        <v>0.11034532320969737</v>
      </c>
      <c r="U367" s="157">
        <f>'r-in'!AH321</f>
        <v>4.513745669813729</v>
      </c>
      <c r="V367" s="157">
        <f>'r-in'!AI321</f>
        <v>0.20726786274650272</v>
      </c>
      <c r="W367" s="158">
        <v>288</v>
      </c>
      <c r="X367" s="764">
        <f t="shared" si="123"/>
        <v>0.88387742286018589</v>
      </c>
      <c r="Y367" s="387">
        <f t="shared" si="125"/>
        <v>3.9895978900812823</v>
      </c>
      <c r="Z367" s="640">
        <f t="shared" si="126"/>
        <v>0.11034532320969737</v>
      </c>
      <c r="AA367" s="473">
        <f t="shared" si="128"/>
        <v>-16.007426296391071</v>
      </c>
      <c r="AB367" s="478">
        <f t="shared" si="129"/>
        <v>1.08578978581264</v>
      </c>
      <c r="AC367" s="108">
        <v>1</v>
      </c>
      <c r="AD367" s="159">
        <f t="shared" si="124"/>
        <v>7.1336235325154998E-2</v>
      </c>
      <c r="AE367" s="160">
        <v>285</v>
      </c>
      <c r="AF367" s="160">
        <v>14</v>
      </c>
      <c r="AG367" s="160">
        <v>2.1</v>
      </c>
      <c r="AH367" s="303">
        <f t="shared" si="127"/>
        <v>0.18541538619121994</v>
      </c>
      <c r="AI367" s="86">
        <f t="shared" si="130"/>
        <v>197.87821501901672</v>
      </c>
      <c r="AJ367" s="86"/>
      <c r="AK367" s="86"/>
      <c r="AL367" s="86"/>
      <c r="AM367" s="86"/>
      <c r="AN367" s="536"/>
      <c r="AP367" s="53"/>
      <c r="AQ367" s="108"/>
      <c r="AR367" s="110"/>
      <c r="AS367" s="724"/>
      <c r="AT367" s="750"/>
      <c r="AU367" s="750"/>
      <c r="AV367" s="751"/>
      <c r="AW367" s="108"/>
      <c r="AX367" s="724"/>
      <c r="AY367" s="53"/>
      <c r="AZ367" s="108"/>
      <c r="BA367" s="771"/>
      <c r="BB367" s="108"/>
      <c r="BC367" s="724"/>
      <c r="BD367" s="724"/>
      <c r="BE367" s="724"/>
      <c r="BF367" s="634"/>
      <c r="BG367" s="108"/>
      <c r="BH367" s="725"/>
      <c r="BI367" s="725"/>
      <c r="BJ367" s="725"/>
      <c r="BK367" s="725"/>
      <c r="BL367" s="725"/>
      <c r="BM367" s="725"/>
      <c r="BN367" s="475"/>
      <c r="BO367" s="475"/>
      <c r="BP367" s="475"/>
      <c r="BY367" s="14">
        <v>9.9860000000000007</v>
      </c>
    </row>
    <row r="368" spans="1:77" ht="15" customHeight="1" x14ac:dyDescent="0.2">
      <c r="A368" s="782" t="str">
        <f>'r-in'!A322</f>
        <v>289_U</v>
      </c>
      <c r="B368" s="707" t="s">
        <v>1134</v>
      </c>
      <c r="C368" s="162">
        <f>'r-in'!P322</f>
        <v>5694.3385009825206</v>
      </c>
      <c r="D368" s="162">
        <f>'r-in'!Q322</f>
        <v>3.4180516648241666</v>
      </c>
      <c r="E368" s="81">
        <f>'r-in'!R322</f>
        <v>151371.19856246439</v>
      </c>
      <c r="F368" s="162">
        <f>'r-in'!S322</f>
        <v>0.13277381636132413</v>
      </c>
      <c r="G368" s="81">
        <f>'r-in'!T322</f>
        <v>3022.9737576307125</v>
      </c>
      <c r="H368" s="162">
        <f>'r-in'!U322</f>
        <v>21.489056335291412</v>
      </c>
      <c r="I368" s="81">
        <f>'r-in'!V322</f>
        <v>4472.6726224760396</v>
      </c>
      <c r="J368" s="162">
        <f>'r-in'!W322</f>
        <v>7.1571591495206714</v>
      </c>
      <c r="K368" s="81">
        <f>'r-in'!X322</f>
        <v>596833.19367867266</v>
      </c>
      <c r="L368" s="162">
        <f>'r-in'!Y322</f>
        <v>0.13841572802652968</v>
      </c>
      <c r="M368" s="81">
        <f>'r-in'!Z322</f>
        <v>4991.6281443720882</v>
      </c>
      <c r="N368" s="162">
        <f>'r-in'!AA322</f>
        <v>4.0811071283632971</v>
      </c>
      <c r="O368" s="81">
        <f>'r-in'!AB322</f>
        <v>116252.83682205249</v>
      </c>
      <c r="P368" s="162">
        <f>'r-in'!AC322</f>
        <v>0.3180426962421592</v>
      </c>
      <c r="Q368" s="81">
        <f>'r-in'!AD322</f>
        <v>527409.99648914929</v>
      </c>
      <c r="R368" s="162">
        <f>'r-in'!AE322</f>
        <v>0.16805080837013342</v>
      </c>
      <c r="S368" s="157">
        <f>'r-in'!AF322</f>
        <v>4.3688901249924399</v>
      </c>
      <c r="T368" s="157">
        <f>'r-in'!AG322</f>
        <v>0.11831660104007689</v>
      </c>
      <c r="U368" s="157">
        <f>'r-in'!AH322</f>
        <v>4.5394908635039917</v>
      </c>
      <c r="V368" s="157">
        <f>'r-in'!AI322</f>
        <v>0.29932974598576956</v>
      </c>
      <c r="W368" s="158">
        <v>289</v>
      </c>
      <c r="X368" s="764">
        <f t="shared" si="123"/>
        <v>0.88390017997018444</v>
      </c>
      <c r="Y368" s="387">
        <f t="shared" si="125"/>
        <v>4.012456791224186</v>
      </c>
      <c r="Z368" s="640">
        <f t="shared" si="126"/>
        <v>0.11831660104007689</v>
      </c>
      <c r="AA368" s="473">
        <f t="shared" si="128"/>
        <v>-10.369517517773819</v>
      </c>
      <c r="AB368" s="478">
        <f t="shared" si="129"/>
        <v>1.1708971497295106</v>
      </c>
      <c r="AC368" s="108">
        <v>1</v>
      </c>
      <c r="AD368" s="159">
        <f t="shared" si="124"/>
        <v>7.1336235325154998E-2</v>
      </c>
      <c r="AE368" s="160">
        <v>285</v>
      </c>
      <c r="AF368" s="160">
        <v>14</v>
      </c>
      <c r="AG368" s="160">
        <v>2.1</v>
      </c>
      <c r="AH368" s="303">
        <f t="shared" si="127"/>
        <v>0.1893444880760006</v>
      </c>
      <c r="AI368" s="86">
        <f t="shared" si="130"/>
        <v>105.65891152845356</v>
      </c>
      <c r="AJ368" s="86"/>
      <c r="AK368" s="86"/>
      <c r="AL368" s="775"/>
      <c r="AM368" s="775"/>
      <c r="AN368" s="536"/>
      <c r="AP368" s="53"/>
      <c r="AQ368" s="108"/>
      <c r="AR368" s="108"/>
      <c r="AS368" s="724"/>
      <c r="AT368" s="724"/>
      <c r="AU368" s="724"/>
      <c r="AV368" s="634"/>
      <c r="AW368" s="108"/>
      <c r="AX368" s="725"/>
      <c r="AY368" s="53"/>
      <c r="AZ368" s="108"/>
      <c r="BA368" s="771"/>
      <c r="BB368" s="108"/>
      <c r="BC368" s="724"/>
      <c r="BD368" s="724"/>
      <c r="BE368" s="724"/>
      <c r="BF368" s="634"/>
      <c r="BG368" s="108"/>
      <c r="BH368" s="725"/>
      <c r="BI368" s="725"/>
      <c r="BJ368" s="725"/>
      <c r="BK368" s="725"/>
      <c r="BL368" s="634"/>
      <c r="BM368" s="724"/>
      <c r="BN368" s="475"/>
      <c r="BO368" s="475"/>
      <c r="BP368" s="10"/>
      <c r="BY368" s="14">
        <v>9.9860000000000007</v>
      </c>
    </row>
    <row r="369" spans="1:77" s="437" customFormat="1" ht="15" customHeight="1" x14ac:dyDescent="0.15">
      <c r="A369" s="783" t="str">
        <f>'r-in'!A323</f>
        <v>290_U</v>
      </c>
      <c r="B369" s="258" t="s">
        <v>1135</v>
      </c>
      <c r="C369" s="567">
        <f>'r-in'!P323</f>
        <v>4990.6597869328589</v>
      </c>
      <c r="D369" s="567">
        <f>'r-in'!Q323</f>
        <v>3.3407479508095856</v>
      </c>
      <c r="E369" s="568">
        <f>'r-in'!R323</f>
        <v>833625.2869931754</v>
      </c>
      <c r="F369" s="567">
        <f>'r-in'!S323</f>
        <v>0.21287321524260422</v>
      </c>
      <c r="G369" s="568">
        <f>'r-in'!T323</f>
        <v>4295.5595158077122</v>
      </c>
      <c r="H369" s="567">
        <f>'r-in'!U323</f>
        <v>3.0288755760744275</v>
      </c>
      <c r="I369" s="568">
        <f>'r-in'!V323</f>
        <v>4672.7772194221725</v>
      </c>
      <c r="J369" s="567">
        <f>'r-in'!W323</f>
        <v>2.3570235739397369</v>
      </c>
      <c r="K369" s="568">
        <f>'r-in'!X323</f>
        <v>3709679.6121064299</v>
      </c>
      <c r="L369" s="567">
        <f>'r-in'!Y323</f>
        <v>0.21490780184745348</v>
      </c>
      <c r="M369" s="568">
        <f>'r-in'!Z323</f>
        <v>3880.4681632676425</v>
      </c>
      <c r="N369" s="567">
        <f>'r-in'!AA323</f>
        <v>5.5503129682350254</v>
      </c>
      <c r="O369" s="568">
        <f>'r-in'!AB323</f>
        <v>798035.37125359359</v>
      </c>
      <c r="P369" s="567">
        <f>'r-in'!AC323</f>
        <v>0.22036410052061697</v>
      </c>
      <c r="Q369" s="568">
        <f>'r-in'!AD323</f>
        <v>3640064.4928650809</v>
      </c>
      <c r="R369" s="567">
        <f>'r-in'!AE323</f>
        <v>0.21830679970296993</v>
      </c>
      <c r="S369" s="588">
        <f>'r-in'!AF323</f>
        <v>4.5345569093167484</v>
      </c>
      <c r="T369" s="588">
        <f>'r-in'!AG323</f>
        <v>2.682807787521926E-2</v>
      </c>
      <c r="U369" s="588">
        <f>'r-in'!AH323</f>
        <v>4.5613188704879457</v>
      </c>
      <c r="V369" s="588">
        <f>'r-in'!AI323</f>
        <v>3.0446253402880864E-2</v>
      </c>
      <c r="W369" s="569">
        <v>290</v>
      </c>
      <c r="X369" s="776">
        <f t="shared" si="123"/>
        <v>0.88392352549364506</v>
      </c>
      <c r="Y369" s="610">
        <f t="shared" si="125"/>
        <v>4.0318570569023962</v>
      </c>
      <c r="Z369" s="639">
        <f t="shared" si="126"/>
        <v>2.682807787521926E-2</v>
      </c>
      <c r="AA369" s="666">
        <f t="shared" si="128"/>
        <v>-5.5846449864603853</v>
      </c>
      <c r="AB369" s="667">
        <f t="shared" si="129"/>
        <v>0.26678252584622086</v>
      </c>
      <c r="AC369" s="570">
        <v>1</v>
      </c>
      <c r="AD369" s="787">
        <f t="shared" si="124"/>
        <v>7.1336235325154998E-2</v>
      </c>
      <c r="AE369" s="571">
        <v>285</v>
      </c>
      <c r="AF369" s="571">
        <v>14</v>
      </c>
      <c r="AG369" s="571">
        <v>2.1</v>
      </c>
      <c r="AH369" s="572">
        <f t="shared" si="127"/>
        <v>1.3091160837696008</v>
      </c>
      <c r="AI369" s="742">
        <f t="shared" si="130"/>
        <v>938.04776632927621</v>
      </c>
      <c r="AJ369" s="742"/>
      <c r="AK369" s="742"/>
      <c r="AL369" s="788">
        <f>AGaverage(AA369:AA382)</f>
        <v>-3.9185949931794894</v>
      </c>
      <c r="AM369" s="788">
        <f>STDEV(AA369:AA382)/(COUNT(AA369:AA382)-1)^0.5</f>
        <v>0.61178804612061177</v>
      </c>
      <c r="AN369" s="573"/>
      <c r="AP369" s="240"/>
      <c r="AQ369" s="570"/>
      <c r="AR369" s="241"/>
      <c r="AS369" s="723"/>
      <c r="AT369" s="777"/>
      <c r="AU369" s="777"/>
      <c r="AV369" s="778"/>
      <c r="AW369" s="570"/>
      <c r="AX369" s="723"/>
      <c r="AY369" s="240"/>
      <c r="AZ369" s="570"/>
      <c r="BA369" s="770"/>
      <c r="BB369" s="570"/>
      <c r="BC369" s="723"/>
      <c r="BD369" s="723"/>
      <c r="BE369" s="723"/>
      <c r="BF369" s="624"/>
      <c r="BG369" s="570"/>
      <c r="BH369" s="769"/>
      <c r="BI369" s="769"/>
      <c r="BJ369" s="769"/>
      <c r="BK369" s="769"/>
      <c r="BL369" s="769"/>
      <c r="BM369" s="769"/>
      <c r="BN369" s="574"/>
      <c r="BO369" s="574"/>
      <c r="BP369" s="574"/>
      <c r="BY369" s="437">
        <v>9.9860000000000007</v>
      </c>
    </row>
    <row r="370" spans="1:77" ht="15" customHeight="1" x14ac:dyDescent="0.15">
      <c r="A370" s="782" t="str">
        <f>'r-in'!A324</f>
        <v>291_U</v>
      </c>
      <c r="B370" s="258" t="s">
        <v>1135</v>
      </c>
      <c r="C370" s="162">
        <f>'r-in'!P324</f>
        <v>5014.7469721599036</v>
      </c>
      <c r="D370" s="162">
        <f>'r-in'!Q324</f>
        <v>3.2360492241768921</v>
      </c>
      <c r="E370" s="81">
        <f>'r-in'!R324</f>
        <v>761998.42855146364</v>
      </c>
      <c r="F370" s="162">
        <f>'r-in'!S324</f>
        <v>0.2009167724794805</v>
      </c>
      <c r="G370" s="81">
        <f>'r-in'!T324</f>
        <v>4438.4002743088358</v>
      </c>
      <c r="H370" s="162">
        <f>'r-in'!U324</f>
        <v>4.1682257442630233</v>
      </c>
      <c r="I370" s="81">
        <f>'r-in'!V324</f>
        <v>4751.1726711563324</v>
      </c>
      <c r="J370" s="162">
        <f>'r-in'!W324</f>
        <v>2.6802833203289467</v>
      </c>
      <c r="K370" s="81">
        <f>'r-in'!X324</f>
        <v>3385233.8632307583</v>
      </c>
      <c r="L370" s="162">
        <f>'r-in'!Y324</f>
        <v>0.20147413493948371</v>
      </c>
      <c r="M370" s="81">
        <f>'r-in'!Z324</f>
        <v>4651.8033729025401</v>
      </c>
      <c r="N370" s="162">
        <f>'r-in'!AA324</f>
        <v>5.4344863622736606</v>
      </c>
      <c r="O370" s="81">
        <f>'r-in'!AB324</f>
        <v>726394.31536434416</v>
      </c>
      <c r="P370" s="162">
        <f>'r-in'!AC324</f>
        <v>0.20997654292781107</v>
      </c>
      <c r="Q370" s="81">
        <f>'r-in'!AD324</f>
        <v>3315671.0224390379</v>
      </c>
      <c r="R370" s="162">
        <f>'r-in'!AE324</f>
        <v>0.204916720473</v>
      </c>
      <c r="S370" s="157">
        <f>'r-in'!AF324</f>
        <v>4.5331627157358385</v>
      </c>
      <c r="T370" s="157">
        <f>'r-in'!AG324</f>
        <v>2.1221913075101104E-2</v>
      </c>
      <c r="U370" s="157">
        <f>'r-in'!AH324</f>
        <v>4.5646096419222939</v>
      </c>
      <c r="V370" s="157">
        <f>'r-in'!AI324</f>
        <v>2.3658813215301173E-2</v>
      </c>
      <c r="W370" s="158">
        <v>291</v>
      </c>
      <c r="X370" s="764">
        <f t="shared" si="123"/>
        <v>0.88394747324158729</v>
      </c>
      <c r="Y370" s="387">
        <f t="shared" si="125"/>
        <v>4.0348751593113983</v>
      </c>
      <c r="Z370" s="640">
        <f t="shared" si="126"/>
        <v>2.1221913075101104E-2</v>
      </c>
      <c r="AA370" s="473">
        <f t="shared" si="128"/>
        <v>-4.8402616077448668</v>
      </c>
      <c r="AB370" s="478">
        <f t="shared" si="129"/>
        <v>0.2111919346400315</v>
      </c>
      <c r="AC370" s="108">
        <v>1</v>
      </c>
      <c r="AD370" s="159">
        <f t="shared" si="124"/>
        <v>7.1336235325154998E-2</v>
      </c>
      <c r="AE370" s="160">
        <v>285</v>
      </c>
      <c r="AF370" s="160">
        <v>14</v>
      </c>
      <c r="AG370" s="160">
        <v>2.1</v>
      </c>
      <c r="AH370" s="303">
        <f t="shared" si="127"/>
        <v>1.1945828427123311</v>
      </c>
      <c r="AI370" s="86">
        <f t="shared" si="130"/>
        <v>712.77110330013613</v>
      </c>
      <c r="AJ370" s="86"/>
      <c r="AK370" s="86"/>
      <c r="AL370" s="775"/>
      <c r="AM370" s="775"/>
      <c r="AN370" s="536"/>
      <c r="AP370" s="53"/>
      <c r="AQ370" s="108"/>
      <c r="AR370" s="108"/>
      <c r="AS370" s="724"/>
      <c r="AT370" s="724"/>
      <c r="AU370" s="724"/>
      <c r="AV370" s="634"/>
      <c r="AW370" s="108"/>
      <c r="AX370" s="725"/>
      <c r="AY370" s="53"/>
      <c r="AZ370" s="108"/>
      <c r="BA370" s="771"/>
      <c r="BB370" s="108"/>
      <c r="BC370" s="724"/>
      <c r="BD370" s="724"/>
      <c r="BE370" s="724"/>
      <c r="BF370" s="634"/>
      <c r="BG370" s="108"/>
      <c r="BH370" s="725"/>
      <c r="BI370" s="725"/>
      <c r="BJ370" s="725"/>
      <c r="BK370" s="725"/>
      <c r="BL370" s="634"/>
      <c r="BM370" s="724"/>
      <c r="BN370" s="475"/>
      <c r="BO370" s="475"/>
      <c r="BP370" s="10"/>
      <c r="BY370" s="14">
        <v>9.9860000000000007</v>
      </c>
    </row>
    <row r="371" spans="1:77" ht="15" customHeight="1" x14ac:dyDescent="0.15">
      <c r="A371" s="782" t="str">
        <f>'r-in'!A325</f>
        <v>292_U</v>
      </c>
      <c r="B371" s="258" t="s">
        <v>1135</v>
      </c>
      <c r="C371" s="162">
        <f>'r-in'!P325</f>
        <v>5157.777724413877</v>
      </c>
      <c r="D371" s="162">
        <f>'r-in'!Q325</f>
        <v>2.9998980216385807</v>
      </c>
      <c r="E371" s="81">
        <f>'r-in'!R325</f>
        <v>742944.78095993272</v>
      </c>
      <c r="F371" s="162">
        <f>'r-in'!S325</f>
        <v>0.18050536622083824</v>
      </c>
      <c r="G371" s="81">
        <f>'r-in'!T325</f>
        <v>4133.1173713120979</v>
      </c>
      <c r="H371" s="162">
        <f>'r-in'!U325</f>
        <v>3.6658540731254892</v>
      </c>
      <c r="I371" s="81">
        <f>'r-in'!V325</f>
        <v>4689.1810666350502</v>
      </c>
      <c r="J371" s="162">
        <f>'r-in'!W325</f>
        <v>2.1912295366085588</v>
      </c>
      <c r="K371" s="81">
        <f>'r-in'!X325</f>
        <v>3297092.6194283525</v>
      </c>
      <c r="L371" s="162">
        <f>'r-in'!Y325</f>
        <v>0.18577668064548863</v>
      </c>
      <c r="M371" s="81">
        <f>'r-in'!Z325</f>
        <v>4611.7885608087727</v>
      </c>
      <c r="N371" s="162">
        <f>'r-in'!AA325</f>
        <v>6.2083990132440814</v>
      </c>
      <c r="O371" s="81">
        <f>'r-in'!AB325</f>
        <v>707652.21988417394</v>
      </c>
      <c r="P371" s="162">
        <f>'r-in'!AC325</f>
        <v>0.19136789660953801</v>
      </c>
      <c r="Q371" s="81">
        <f>'r-in'!AD325</f>
        <v>3227525.4134459053</v>
      </c>
      <c r="R371" s="162">
        <f>'r-in'!AE325</f>
        <v>0.18905742181879054</v>
      </c>
      <c r="S371" s="157">
        <f>'r-in'!AF325</f>
        <v>4.5312444933713927</v>
      </c>
      <c r="T371" s="157">
        <f>'r-in'!AG325</f>
        <v>2.17594616894927E-2</v>
      </c>
      <c r="U371" s="157">
        <f>'r-in'!AH325</f>
        <v>4.5609165886971663</v>
      </c>
      <c r="V371" s="157">
        <f>'r-in'!AI325</f>
        <v>2.2815031127684508E-2</v>
      </c>
      <c r="W371" s="158">
        <v>292</v>
      </c>
      <c r="X371" s="764">
        <f t="shared" si="123"/>
        <v>0.8839720371485974</v>
      </c>
      <c r="Y371" s="387">
        <f t="shared" si="125"/>
        <v>4.031722728175466</v>
      </c>
      <c r="Z371" s="640">
        <f t="shared" si="126"/>
        <v>2.17594616894927E-2</v>
      </c>
      <c r="AA371" s="473">
        <f t="shared" si="128"/>
        <v>-5.6177757613846691</v>
      </c>
      <c r="AB371" s="478">
        <f t="shared" si="129"/>
        <v>0.2163722191302897</v>
      </c>
      <c r="AC371" s="108">
        <v>1</v>
      </c>
      <c r="AD371" s="159">
        <f t="shared" si="124"/>
        <v>7.1336235325154998E-2</v>
      </c>
      <c r="AE371" s="160">
        <v>285</v>
      </c>
      <c r="AF371" s="160">
        <v>14</v>
      </c>
      <c r="AG371" s="160">
        <v>2.1</v>
      </c>
      <c r="AH371" s="303">
        <f t="shared" si="127"/>
        <v>1.1649342140188497</v>
      </c>
      <c r="AI371" s="86">
        <f t="shared" si="130"/>
        <v>699.84245177100922</v>
      </c>
      <c r="AJ371" s="86"/>
      <c r="AK371" s="86"/>
      <c r="AL371" s="86"/>
      <c r="AM371" s="86"/>
      <c r="AN371" s="536"/>
      <c r="AP371" s="53"/>
      <c r="AQ371" s="108"/>
      <c r="AR371" s="110"/>
      <c r="AS371" s="724"/>
      <c r="AT371" s="750"/>
      <c r="AU371" s="750"/>
      <c r="AV371" s="751"/>
      <c r="AW371" s="108"/>
      <c r="AX371" s="724"/>
      <c r="AY371" s="53"/>
      <c r="AZ371" s="108"/>
      <c r="BA371" s="771"/>
      <c r="BB371" s="108"/>
      <c r="BC371" s="724"/>
      <c r="BD371" s="724"/>
      <c r="BE371" s="724"/>
      <c r="BF371" s="634"/>
      <c r="BG371" s="108"/>
      <c r="BH371" s="725"/>
      <c r="BI371" s="725"/>
      <c r="BJ371" s="725"/>
      <c r="BK371" s="725"/>
      <c r="BL371" s="725"/>
      <c r="BM371" s="725"/>
      <c r="BN371" s="475"/>
      <c r="BO371" s="475"/>
      <c r="BP371" s="475"/>
      <c r="BY371" s="14">
        <v>9.9860000000000007</v>
      </c>
    </row>
    <row r="372" spans="1:77" ht="15" customHeight="1" x14ac:dyDescent="0.15">
      <c r="A372" s="782" t="str">
        <f>'r-in'!A326</f>
        <v>293_U</v>
      </c>
      <c r="B372" s="258" t="s">
        <v>1135</v>
      </c>
      <c r="C372" s="162">
        <f>'r-in'!P326</f>
        <v>4712.4804760895513</v>
      </c>
      <c r="D372" s="162">
        <f>'r-in'!Q326</f>
        <v>3.628118327866122</v>
      </c>
      <c r="E372" s="81">
        <f>'r-in'!R326</f>
        <v>926840.81593296351</v>
      </c>
      <c r="F372" s="162">
        <f>'r-in'!S326</f>
        <v>0.16151350472725901</v>
      </c>
      <c r="G372" s="81">
        <f>'r-in'!T326</f>
        <v>4250.6216171927608</v>
      </c>
      <c r="H372" s="162">
        <f>'r-in'!U326</f>
        <v>3.8053223595128323</v>
      </c>
      <c r="I372" s="81">
        <f>'r-in'!V326</f>
        <v>4501.263640199074</v>
      </c>
      <c r="J372" s="162">
        <f>'r-in'!W326</f>
        <v>2.6025758609415548</v>
      </c>
      <c r="K372" s="81">
        <f>'r-in'!X326</f>
        <v>4135322.5700808335</v>
      </c>
      <c r="L372" s="162">
        <f>'r-in'!Y326</f>
        <v>0.16075477479193626</v>
      </c>
      <c r="M372" s="81">
        <f>'r-in'!Z326</f>
        <v>3914.0579910702218</v>
      </c>
      <c r="N372" s="162">
        <f>'r-in'!AA326</f>
        <v>5.5749726251354517</v>
      </c>
      <c r="O372" s="81">
        <f>'r-in'!AB326</f>
        <v>891591.51495878305</v>
      </c>
      <c r="P372" s="162">
        <f>'r-in'!AC326</f>
        <v>0.16736428017811769</v>
      </c>
      <c r="Q372" s="81">
        <f>'r-in'!AD326</f>
        <v>4065830.060054909</v>
      </c>
      <c r="R372" s="162">
        <f>'r-in'!AE326</f>
        <v>0.16251144399629269</v>
      </c>
      <c r="S372" s="157">
        <f>'r-in'!AF326</f>
        <v>4.537027294266549</v>
      </c>
      <c r="T372" s="157">
        <f>'r-in'!AG326</f>
        <v>2.1035751284355298E-2</v>
      </c>
      <c r="U372" s="157">
        <f>'r-in'!AH326</f>
        <v>4.5602382804490746</v>
      </c>
      <c r="V372" s="157">
        <f>'r-in'!AI326</f>
        <v>2.606075392582214E-2</v>
      </c>
      <c r="W372" s="158">
        <v>293</v>
      </c>
      <c r="X372" s="764">
        <f t="shared" si="123"/>
        <v>0.88399723127305341</v>
      </c>
      <c r="Y372" s="387">
        <f t="shared" si="125"/>
        <v>4.0312380138623718</v>
      </c>
      <c r="Z372" s="640">
        <f t="shared" si="126"/>
        <v>2.1035751284355298E-2</v>
      </c>
      <c r="AA372" s="473">
        <f t="shared" si="128"/>
        <v>-5.73732547481276</v>
      </c>
      <c r="AB372" s="478">
        <f t="shared" si="129"/>
        <v>0.20915062332638179</v>
      </c>
      <c r="AC372" s="108">
        <v>1</v>
      </c>
      <c r="AD372" s="159">
        <f t="shared" si="124"/>
        <v>7.1336235325154998E-2</v>
      </c>
      <c r="AE372" s="160">
        <v>285</v>
      </c>
      <c r="AF372" s="160">
        <v>14</v>
      </c>
      <c r="AG372" s="160">
        <v>2.1</v>
      </c>
      <c r="AH372" s="303">
        <f t="shared" si="127"/>
        <v>1.470209148653763</v>
      </c>
      <c r="AI372" s="86">
        <f t="shared" si="130"/>
        <v>1038.7761421345697</v>
      </c>
      <c r="AJ372" s="86"/>
      <c r="AK372" s="86"/>
      <c r="AL372" s="775"/>
      <c r="AM372" s="775"/>
      <c r="AN372" s="536"/>
      <c r="AP372" s="53"/>
      <c r="AQ372" s="108"/>
      <c r="AR372" s="108"/>
      <c r="AS372" s="724"/>
      <c r="AT372" s="724"/>
      <c r="AU372" s="724"/>
      <c r="AV372" s="634"/>
      <c r="AW372" s="108"/>
      <c r="AX372" s="725"/>
      <c r="AY372" s="53"/>
      <c r="AZ372" s="108"/>
      <c r="BA372" s="771"/>
      <c r="BB372" s="108"/>
      <c r="BC372" s="724"/>
      <c r="BD372" s="724"/>
      <c r="BE372" s="724"/>
      <c r="BF372" s="634"/>
      <c r="BG372" s="108"/>
      <c r="BH372" s="725"/>
      <c r="BI372" s="725"/>
      <c r="BJ372" s="725"/>
      <c r="BK372" s="725"/>
      <c r="BL372" s="634"/>
      <c r="BM372" s="724"/>
      <c r="BN372" s="475"/>
      <c r="BO372" s="475"/>
      <c r="BP372" s="10"/>
      <c r="BY372" s="14">
        <v>9.9860000000000007</v>
      </c>
    </row>
    <row r="373" spans="1:77" ht="15" customHeight="1" x14ac:dyDescent="0.15">
      <c r="A373" s="782" t="str">
        <f>'r-in'!A327</f>
        <v>294_U</v>
      </c>
      <c r="B373" s="258" t="s">
        <v>1135</v>
      </c>
      <c r="C373" s="162">
        <f>'r-in'!P327</f>
        <v>5008.2239365649111</v>
      </c>
      <c r="D373" s="162">
        <f>'r-in'!Q327</f>
        <v>3.8837475099556791</v>
      </c>
      <c r="E373" s="81">
        <f>'r-in'!R327</f>
        <v>976503.4461239404</v>
      </c>
      <c r="F373" s="162">
        <f>'r-in'!S327</f>
        <v>0.14543879867560422</v>
      </c>
      <c r="G373" s="81">
        <f>'r-in'!T327</f>
        <v>4247.887790830503</v>
      </c>
      <c r="H373" s="162">
        <f>'r-in'!U327</f>
        <v>4.3330633438471242</v>
      </c>
      <c r="I373" s="81">
        <f>'r-in'!V327</f>
        <v>4660.5077634924992</v>
      </c>
      <c r="J373" s="162">
        <f>'r-in'!W327</f>
        <v>2.7669897881329506</v>
      </c>
      <c r="K373" s="81">
        <f>'r-in'!X327</f>
        <v>4363450.081688351</v>
      </c>
      <c r="L373" s="162">
        <f>'r-in'!Y327</f>
        <v>0.14712696683294085</v>
      </c>
      <c r="M373" s="81">
        <f>'r-in'!Z327</f>
        <v>4069.432787178599</v>
      </c>
      <c r="N373" s="162">
        <f>'r-in'!AA327</f>
        <v>5.062706174568671</v>
      </c>
      <c r="O373" s="81">
        <f>'r-in'!AB327</f>
        <v>941227.04795121273</v>
      </c>
      <c r="P373" s="162">
        <f>'r-in'!AC327</f>
        <v>0.15068817178610514</v>
      </c>
      <c r="Q373" s="81">
        <f>'r-in'!AD327</f>
        <v>4293981.3283433039</v>
      </c>
      <c r="R373" s="162">
        <f>'r-in'!AE327</f>
        <v>0.15007408880092682</v>
      </c>
      <c r="S373" s="157">
        <f>'r-in'!AF327</f>
        <v>4.5406040730984616</v>
      </c>
      <c r="T373" s="157">
        <f>'r-in'!AG327</f>
        <v>2.1783518704852504E-2</v>
      </c>
      <c r="U373" s="157">
        <f>'r-in'!AH327</f>
        <v>4.5621241434048141</v>
      </c>
      <c r="V373" s="157">
        <f>'r-in'!AI327</f>
        <v>2.3925891330887877E-2</v>
      </c>
      <c r="W373" s="158">
        <v>294</v>
      </c>
      <c r="X373" s="764">
        <f t="shared" si="123"/>
        <v>0.88402306979735523</v>
      </c>
      <c r="Y373" s="387">
        <f t="shared" si="125"/>
        <v>4.0330229900493535</v>
      </c>
      <c r="Z373" s="640">
        <f t="shared" si="126"/>
        <v>2.1783518704852504E-2</v>
      </c>
      <c r="AA373" s="473">
        <f t="shared" si="128"/>
        <v>-5.2970797757174726</v>
      </c>
      <c r="AB373" s="478">
        <f t="shared" si="129"/>
        <v>0.21668129668472869</v>
      </c>
      <c r="AC373" s="108">
        <v>1</v>
      </c>
      <c r="AD373" s="159">
        <f t="shared" si="124"/>
        <v>7.1336235325154998E-2</v>
      </c>
      <c r="AE373" s="160">
        <v>285</v>
      </c>
      <c r="AF373" s="160">
        <v>14</v>
      </c>
      <c r="AG373" s="160">
        <v>2.1</v>
      </c>
      <c r="AH373" s="303">
        <f t="shared" si="127"/>
        <v>1.5556061198462723</v>
      </c>
      <c r="AI373" s="86">
        <f t="shared" si="130"/>
        <v>1055.1793217649843</v>
      </c>
      <c r="AJ373" s="86"/>
      <c r="AK373" s="86"/>
      <c r="AL373" s="86"/>
      <c r="AM373" s="86"/>
      <c r="AN373" s="536"/>
      <c r="AP373" s="53"/>
      <c r="AQ373" s="108"/>
      <c r="AR373" s="110"/>
      <c r="AS373" s="724"/>
      <c r="AT373" s="750"/>
      <c r="AU373" s="750"/>
      <c r="AV373" s="751"/>
      <c r="AW373" s="108"/>
      <c r="AX373" s="724"/>
      <c r="AY373" s="53"/>
      <c r="AZ373" s="108"/>
      <c r="BA373" s="771"/>
      <c r="BB373" s="108"/>
      <c r="BC373" s="724"/>
      <c r="BD373" s="724"/>
      <c r="BE373" s="724"/>
      <c r="BF373" s="634"/>
      <c r="BG373" s="108"/>
      <c r="BH373" s="725"/>
      <c r="BI373" s="725"/>
      <c r="BJ373" s="725"/>
      <c r="BK373" s="725"/>
      <c r="BL373" s="725"/>
      <c r="BM373" s="725"/>
      <c r="BN373" s="475"/>
      <c r="BO373" s="475"/>
      <c r="BP373" s="475"/>
      <c r="BY373" s="14">
        <v>9.9860000000000007</v>
      </c>
    </row>
    <row r="374" spans="1:77" ht="15" customHeight="1" x14ac:dyDescent="0.15">
      <c r="A374" s="782" t="str">
        <f>'r-in'!A328</f>
        <v>295_U</v>
      </c>
      <c r="B374" s="258" t="s">
        <v>1135</v>
      </c>
      <c r="C374" s="162">
        <f>'r-in'!P328</f>
        <v>4997.4209829093143</v>
      </c>
      <c r="D374" s="162">
        <f>'r-in'!Q328</f>
        <v>3.9916826112474229</v>
      </c>
      <c r="E374" s="81">
        <f>'r-in'!R328</f>
        <v>1004388.5440419129</v>
      </c>
      <c r="F374" s="162">
        <f>'r-in'!S328</f>
        <v>0.20451999755125502</v>
      </c>
      <c r="G374" s="81">
        <f>'r-in'!T328</f>
        <v>4442.508675775307</v>
      </c>
      <c r="H374" s="162">
        <f>'r-in'!U328</f>
        <v>3.7221547208590127</v>
      </c>
      <c r="I374" s="81">
        <f>'r-in'!V328</f>
        <v>4743.6490362382183</v>
      </c>
      <c r="J374" s="162">
        <f>'r-in'!W328</f>
        <v>2.7711582248028113</v>
      </c>
      <c r="K374" s="81">
        <f>'r-in'!X328</f>
        <v>4493008.5590141499</v>
      </c>
      <c r="L374" s="162">
        <f>'r-in'!Y328</f>
        <v>0.20556020706885414</v>
      </c>
      <c r="M374" s="81">
        <f>'r-in'!Z328</f>
        <v>3962.0353093834588</v>
      </c>
      <c r="N374" s="162">
        <f>'r-in'!AA328</f>
        <v>4.7832045623204777</v>
      </c>
      <c r="O374" s="81">
        <f>'r-in'!AB328</f>
        <v>969032.01865566918</v>
      </c>
      <c r="P374" s="162">
        <f>'r-in'!AC328</f>
        <v>0.21109737675333207</v>
      </c>
      <c r="Q374" s="81">
        <f>'r-in'!AD328</f>
        <v>4423727.0870058257</v>
      </c>
      <c r="R374" s="162">
        <f>'r-in'!AE328</f>
        <v>0.20829590684365881</v>
      </c>
      <c r="S374" s="157">
        <f>'r-in'!AF328</f>
        <v>4.5423699919693492</v>
      </c>
      <c r="T374" s="157">
        <f>'r-in'!AG328</f>
        <v>1.7258601831158942E-2</v>
      </c>
      <c r="U374" s="157">
        <f>'r-in'!AH328</f>
        <v>4.5651291409088177</v>
      </c>
      <c r="V374" s="157">
        <f>'r-in'!AI328</f>
        <v>2.1017443200669259E-2</v>
      </c>
      <c r="W374" s="158">
        <v>295</v>
      </c>
      <c r="X374" s="764">
        <f t="shared" si="123"/>
        <v>0.88404956702816306</v>
      </c>
      <c r="Y374" s="387">
        <f t="shared" si="125"/>
        <v>4.0358004404480905</v>
      </c>
      <c r="Z374" s="640">
        <f t="shared" si="126"/>
        <v>1.7258601831158942E-2</v>
      </c>
      <c r="AA374" s="473">
        <f t="shared" si="128"/>
        <v>-4.6120506972276987</v>
      </c>
      <c r="AB374" s="478">
        <f t="shared" si="129"/>
        <v>0.17179004284539889</v>
      </c>
      <c r="AC374" s="108">
        <v>1</v>
      </c>
      <c r="AD374" s="159">
        <f t="shared" si="124"/>
        <v>7.1336235325154998E-2</v>
      </c>
      <c r="AE374" s="160">
        <v>285</v>
      </c>
      <c r="AF374" s="160">
        <v>14</v>
      </c>
      <c r="AG374" s="160">
        <v>2.1</v>
      </c>
      <c r="AH374" s="303">
        <f t="shared" si="127"/>
        <v>1.6056429759204389</v>
      </c>
      <c r="AI374" s="86">
        <f t="shared" si="130"/>
        <v>1116.5289407009884</v>
      </c>
      <c r="AJ374" s="86"/>
      <c r="AK374" s="86"/>
      <c r="AL374" s="775"/>
      <c r="AM374" s="775"/>
      <c r="AN374" s="536"/>
      <c r="AP374" s="53"/>
      <c r="AQ374" s="108"/>
      <c r="AR374" s="108"/>
      <c r="AS374" s="724"/>
      <c r="AT374" s="724"/>
      <c r="AU374" s="724"/>
      <c r="AV374" s="634"/>
      <c r="AW374" s="108"/>
      <c r="AX374" s="725"/>
      <c r="AY374" s="53"/>
      <c r="AZ374" s="108"/>
      <c r="BA374" s="771"/>
      <c r="BB374" s="108"/>
      <c r="BC374" s="724"/>
      <c r="BD374" s="724"/>
      <c r="BE374" s="724"/>
      <c r="BF374" s="634"/>
      <c r="BG374" s="108"/>
      <c r="BH374" s="725"/>
      <c r="BI374" s="725"/>
      <c r="BJ374" s="725"/>
      <c r="BK374" s="725"/>
      <c r="BL374" s="634"/>
      <c r="BM374" s="724"/>
      <c r="BN374" s="475"/>
      <c r="BO374" s="475"/>
      <c r="BP374" s="10"/>
      <c r="BY374" s="14">
        <v>9.9860000000000007</v>
      </c>
    </row>
    <row r="375" spans="1:77" ht="15" customHeight="1" x14ac:dyDescent="0.15">
      <c r="A375" s="782" t="str">
        <f>'r-in'!A329</f>
        <v>296_U</v>
      </c>
      <c r="B375" s="258" t="s">
        <v>1135</v>
      </c>
      <c r="C375" s="162">
        <f>'r-in'!P329</f>
        <v>5166.9334053200801</v>
      </c>
      <c r="D375" s="162">
        <f>'r-in'!Q329</f>
        <v>3.0104481138294381</v>
      </c>
      <c r="E375" s="81">
        <f>'r-in'!R329</f>
        <v>858631.66591961926</v>
      </c>
      <c r="F375" s="162">
        <f>'r-in'!S329</f>
        <v>0.18804762280018464</v>
      </c>
      <c r="G375" s="81">
        <f>'r-in'!T329</f>
        <v>4364.7681198558976</v>
      </c>
      <c r="H375" s="162">
        <f>'r-in'!U329</f>
        <v>3.3548283338242579</v>
      </c>
      <c r="I375" s="81">
        <f>'r-in'!V329</f>
        <v>4800.0879714972134</v>
      </c>
      <c r="J375" s="162">
        <f>'r-in'!W329</f>
        <v>2.0388742420416341</v>
      </c>
      <c r="K375" s="81">
        <f>'r-in'!X329</f>
        <v>3842160.6883677277</v>
      </c>
      <c r="L375" s="162">
        <f>'r-in'!Y329</f>
        <v>0.19226725644034584</v>
      </c>
      <c r="M375" s="81">
        <f>'r-in'!Z329</f>
        <v>4409.0500454103294</v>
      </c>
      <c r="N375" s="162">
        <f>'r-in'!AA329</f>
        <v>6.2774492472206704</v>
      </c>
      <c r="O375" s="81">
        <f>'r-in'!AB329</f>
        <v>823137.55640763498</v>
      </c>
      <c r="P375" s="162">
        <f>'r-in'!AC329</f>
        <v>0.19513049571649879</v>
      </c>
      <c r="Q375" s="81">
        <f>'r-in'!AD329</f>
        <v>3772221.9378731586</v>
      </c>
      <c r="R375" s="162">
        <f>'r-in'!AE329</f>
        <v>0.1952830733602669</v>
      </c>
      <c r="S375" s="157">
        <f>'r-in'!AF329</f>
        <v>4.556303719192802</v>
      </c>
      <c r="T375" s="157">
        <f>'r-in'!AG329</f>
        <v>1.9662726902832595E-2</v>
      </c>
      <c r="U375" s="157">
        <f>'r-in'!AH329</f>
        <v>4.5827403441405492</v>
      </c>
      <c r="V375" s="157">
        <f>'r-in'!AI329</f>
        <v>1.8567429543867715E-2</v>
      </c>
      <c r="W375" s="158">
        <v>296</v>
      </c>
      <c r="X375" s="764">
        <f t="shared" si="123"/>
        <v>0.88407673739664261</v>
      </c>
      <c r="Y375" s="387">
        <f t="shared" si="125"/>
        <v>4.0514941317837438</v>
      </c>
      <c r="Z375" s="640">
        <f t="shared" si="126"/>
        <v>1.9662726902832595E-2</v>
      </c>
      <c r="AA375" s="473">
        <f t="shared" si="128"/>
        <v>-0.74136594308948922</v>
      </c>
      <c r="AB375" s="478">
        <f t="shared" si="129"/>
        <v>0.19648149626760869</v>
      </c>
      <c r="AC375" s="108">
        <v>1</v>
      </c>
      <c r="AD375" s="159">
        <f t="shared" si="124"/>
        <v>7.1336235325154998E-2</v>
      </c>
      <c r="AE375" s="160">
        <v>285</v>
      </c>
      <c r="AF375" s="160">
        <v>14</v>
      </c>
      <c r="AG375" s="160">
        <v>2.1</v>
      </c>
      <c r="AH375" s="303">
        <f t="shared" si="127"/>
        <v>1.3717999545717126</v>
      </c>
      <c r="AI375" s="86">
        <f t="shared" si="130"/>
        <v>855.5634204696571</v>
      </c>
      <c r="AJ375" s="86"/>
      <c r="AK375" s="86"/>
      <c r="AL375" s="86"/>
      <c r="AM375" s="86"/>
      <c r="AN375" s="536"/>
      <c r="AP375" s="53"/>
      <c r="AQ375" s="108"/>
      <c r="AR375" s="110"/>
      <c r="AS375" s="724"/>
      <c r="AT375" s="750"/>
      <c r="AU375" s="750"/>
      <c r="AV375" s="751"/>
      <c r="AW375" s="108"/>
      <c r="AX375" s="724"/>
      <c r="AY375" s="53"/>
      <c r="AZ375" s="108"/>
      <c r="BA375" s="771"/>
      <c r="BB375" s="108"/>
      <c r="BC375" s="724"/>
      <c r="BD375" s="724"/>
      <c r="BE375" s="724"/>
      <c r="BF375" s="634"/>
      <c r="BG375" s="108"/>
      <c r="BH375" s="725"/>
      <c r="BI375" s="725"/>
      <c r="BJ375" s="725"/>
      <c r="BK375" s="725"/>
      <c r="BL375" s="725"/>
      <c r="BM375" s="725"/>
      <c r="BN375" s="475"/>
      <c r="BO375" s="475"/>
      <c r="BP375" s="475"/>
      <c r="BY375" s="14">
        <v>9.9860000000000007</v>
      </c>
    </row>
    <row r="376" spans="1:77" ht="15" customHeight="1" x14ac:dyDescent="0.15">
      <c r="A376" s="782" t="str">
        <f>'r-in'!A330</f>
        <v>297_U</v>
      </c>
      <c r="B376" s="258" t="s">
        <v>1135</v>
      </c>
      <c r="C376" s="162">
        <f>'r-in'!P330</f>
        <v>5225.6322159199899</v>
      </c>
      <c r="D376" s="162">
        <f>'r-in'!Q330</f>
        <v>3.5920116041185057</v>
      </c>
      <c r="E376" s="81">
        <f>'r-in'!R330</f>
        <v>823656.10095131607</v>
      </c>
      <c r="F376" s="162">
        <f>'r-in'!S330</f>
        <v>0.19507850084519676</v>
      </c>
      <c r="G376" s="81">
        <f>'r-in'!T330</f>
        <v>4211.5077357782911</v>
      </c>
      <c r="H376" s="162">
        <f>'r-in'!U330</f>
        <v>3.9389631229189832</v>
      </c>
      <c r="I376" s="81">
        <f>'r-in'!V330</f>
        <v>4761.8538131277382</v>
      </c>
      <c r="J376" s="162">
        <f>'r-in'!W330</f>
        <v>2.5324704908467948</v>
      </c>
      <c r="K376" s="81">
        <f>'r-in'!X330</f>
        <v>3680920.6227740818</v>
      </c>
      <c r="L376" s="162">
        <f>'r-in'!Y330</f>
        <v>0.19345701770428297</v>
      </c>
      <c r="M376" s="81">
        <f>'r-in'!Z330</f>
        <v>4116.9874315316292</v>
      </c>
      <c r="N376" s="162">
        <f>'r-in'!AA330</f>
        <v>5.2957760291345766</v>
      </c>
      <c r="O376" s="81">
        <f>'r-in'!AB330</f>
        <v>788339.89557232731</v>
      </c>
      <c r="P376" s="162">
        <f>'r-in'!AC330</f>
        <v>0.20091812853866797</v>
      </c>
      <c r="Q376" s="81">
        <f>'r-in'!AD330</f>
        <v>3612183.8434125222</v>
      </c>
      <c r="R376" s="162">
        <f>'r-in'!AE330</f>
        <v>0.19747423940506117</v>
      </c>
      <c r="S376" s="157">
        <f>'r-in'!AF330</f>
        <v>4.5541782700007065</v>
      </c>
      <c r="T376" s="157">
        <f>'r-in'!AG330</f>
        <v>2.2047442342255932E-2</v>
      </c>
      <c r="U376" s="157">
        <f>'r-in'!AH330</f>
        <v>4.5820472429527834</v>
      </c>
      <c r="V376" s="157">
        <f>'r-in'!AI330</f>
        <v>2.4413146792791041E-2</v>
      </c>
      <c r="W376" s="158">
        <v>297</v>
      </c>
      <c r="X376" s="764">
        <f t="shared" si="123"/>
        <v>0.88410459545871811</v>
      </c>
      <c r="Y376" s="387">
        <f t="shared" si="125"/>
        <v>4.0510090241035055</v>
      </c>
      <c r="Z376" s="640">
        <f t="shared" si="126"/>
        <v>2.2047442342255932E-2</v>
      </c>
      <c r="AA376" s="473">
        <f t="shared" si="128"/>
        <v>-0.86101267640759094</v>
      </c>
      <c r="AB376" s="478">
        <f t="shared" si="129"/>
        <v>0.22028459214906704</v>
      </c>
      <c r="AC376" s="108">
        <v>1</v>
      </c>
      <c r="AD376" s="159">
        <f t="shared" si="124"/>
        <v>7.1336235325154998E-2</v>
      </c>
      <c r="AE376" s="160">
        <v>285</v>
      </c>
      <c r="AF376" s="160">
        <v>14</v>
      </c>
      <c r="AG376" s="160">
        <v>2.1</v>
      </c>
      <c r="AH376" s="303">
        <f t="shared" si="127"/>
        <v>1.3161584004058862</v>
      </c>
      <c r="AI376" s="86">
        <f t="shared" si="130"/>
        <v>877.38520058311019</v>
      </c>
      <c r="AJ376" s="86"/>
      <c r="AK376" s="86"/>
      <c r="AL376" s="775"/>
      <c r="AM376" s="775"/>
      <c r="AN376" s="536"/>
      <c r="AP376" s="53"/>
      <c r="AQ376" s="108"/>
      <c r="AR376" s="108"/>
      <c r="AS376" s="724"/>
      <c r="AT376" s="724"/>
      <c r="AU376" s="724"/>
      <c r="AV376" s="634"/>
      <c r="AW376" s="108"/>
      <c r="AX376" s="725"/>
      <c r="AY376" s="53"/>
      <c r="AZ376" s="108"/>
      <c r="BA376" s="771"/>
      <c r="BB376" s="108"/>
      <c r="BC376" s="724"/>
      <c r="BD376" s="724"/>
      <c r="BE376" s="724"/>
      <c r="BF376" s="634"/>
      <c r="BG376" s="108"/>
      <c r="BH376" s="725"/>
      <c r="BI376" s="725"/>
      <c r="BJ376" s="725"/>
      <c r="BK376" s="725"/>
      <c r="BL376" s="634"/>
      <c r="BM376" s="724"/>
      <c r="BN376" s="475"/>
      <c r="BO376" s="475"/>
      <c r="BP376" s="10"/>
      <c r="BY376" s="14">
        <v>9.9860000000000007</v>
      </c>
    </row>
    <row r="377" spans="1:77" ht="15" customHeight="1" x14ac:dyDescent="0.15">
      <c r="A377" s="782" t="str">
        <f>'r-in'!A331</f>
        <v>298_U</v>
      </c>
      <c r="B377" s="258" t="s">
        <v>1135</v>
      </c>
      <c r="C377" s="162">
        <f>'r-in'!P331</f>
        <v>4904.8363761168903</v>
      </c>
      <c r="D377" s="162">
        <f>'r-in'!Q331</f>
        <v>3.7485514148963843</v>
      </c>
      <c r="E377" s="81">
        <f>'r-in'!R331</f>
        <v>979727.45319100353</v>
      </c>
      <c r="F377" s="162">
        <f>'r-in'!S331</f>
        <v>0.17259015540633554</v>
      </c>
      <c r="G377" s="81">
        <f>'r-in'!T331</f>
        <v>4145.9021877417854</v>
      </c>
      <c r="H377" s="162">
        <f>'r-in'!U331</f>
        <v>4.3369816340631502</v>
      </c>
      <c r="I377" s="81">
        <f>'r-in'!V331</f>
        <v>4557.7613447954282</v>
      </c>
      <c r="J377" s="162">
        <f>'r-in'!W331</f>
        <v>2.9642387099435115</v>
      </c>
      <c r="K377" s="81">
        <f>'r-in'!X331</f>
        <v>4380708.4309523087</v>
      </c>
      <c r="L377" s="162">
        <f>'r-in'!Y331</f>
        <v>0.17396222797836838</v>
      </c>
      <c r="M377" s="81">
        <f>'r-in'!Z331</f>
        <v>4351.4163937753365</v>
      </c>
      <c r="N377" s="162">
        <f>'r-in'!AA331</f>
        <v>5.7330308754821466</v>
      </c>
      <c r="O377" s="81">
        <f>'r-in'!AB331</f>
        <v>944577.20739186404</v>
      </c>
      <c r="P377" s="162">
        <f>'r-in'!AC331</f>
        <v>0.17731554621055842</v>
      </c>
      <c r="Q377" s="81">
        <f>'r-in'!AD331</f>
        <v>4311974.8717078008</v>
      </c>
      <c r="R377" s="162">
        <f>'r-in'!AE331</f>
        <v>0.17755617148487748</v>
      </c>
      <c r="S377" s="157">
        <f>'r-in'!AF331</f>
        <v>4.5435883684811635</v>
      </c>
      <c r="T377" s="157">
        <f>'r-in'!AG331</f>
        <v>1.6465085677702149E-2</v>
      </c>
      <c r="U377" s="157">
        <f>'r-in'!AH331</f>
        <v>4.564984007304191</v>
      </c>
      <c r="V377" s="157">
        <f>'r-in'!AI331</f>
        <v>1.9050828754420251E-2</v>
      </c>
      <c r="W377" s="158">
        <v>298</v>
      </c>
      <c r="X377" s="764">
        <f t="shared" si="123"/>
        <v>0.88413315589533215</v>
      </c>
      <c r="Y377" s="387">
        <f t="shared" si="125"/>
        <v>4.0360537169895743</v>
      </c>
      <c r="Z377" s="640">
        <f t="shared" si="126"/>
        <v>1.6465085677702149E-2</v>
      </c>
      <c r="AA377" s="473">
        <f t="shared" si="128"/>
        <v>-4.5495826884759394</v>
      </c>
      <c r="AB377" s="478">
        <f t="shared" si="129"/>
        <v>0.16390176408931367</v>
      </c>
      <c r="AC377" s="108">
        <v>1</v>
      </c>
      <c r="AD377" s="159">
        <f t="shared" si="124"/>
        <v>7.1336235325154998E-2</v>
      </c>
      <c r="AE377" s="160">
        <v>285</v>
      </c>
      <c r="AF377" s="160">
        <v>14</v>
      </c>
      <c r="AG377" s="160">
        <v>2.1</v>
      </c>
      <c r="AH377" s="303">
        <f t="shared" si="127"/>
        <v>1.5742414122991453</v>
      </c>
      <c r="AI377" s="86">
        <f t="shared" si="130"/>
        <v>990.93593476276908</v>
      </c>
      <c r="AJ377" s="86"/>
      <c r="AK377" s="86"/>
      <c r="AL377" s="86"/>
      <c r="AM377" s="86"/>
      <c r="AN377" s="536"/>
      <c r="AP377" s="53"/>
      <c r="AQ377" s="108"/>
      <c r="AR377" s="110"/>
      <c r="AS377" s="724"/>
      <c r="AT377" s="750"/>
      <c r="AU377" s="750"/>
      <c r="AV377" s="751"/>
      <c r="AW377" s="108"/>
      <c r="AX377" s="724"/>
      <c r="AY377" s="53"/>
      <c r="AZ377" s="108"/>
      <c r="BA377" s="771"/>
      <c r="BB377" s="108"/>
      <c r="BC377" s="724"/>
      <c r="BD377" s="724"/>
      <c r="BE377" s="724"/>
      <c r="BF377" s="634"/>
      <c r="BG377" s="108"/>
      <c r="BH377" s="725"/>
      <c r="BI377" s="725"/>
      <c r="BJ377" s="725"/>
      <c r="BK377" s="725"/>
      <c r="BL377" s="725"/>
      <c r="BM377" s="725"/>
      <c r="BN377" s="475"/>
      <c r="BO377" s="475"/>
      <c r="BP377" s="475"/>
      <c r="BY377" s="14">
        <v>9.9860000000000007</v>
      </c>
    </row>
    <row r="378" spans="1:77" ht="15" customHeight="1" x14ac:dyDescent="0.15">
      <c r="A378" s="782" t="str">
        <f>'r-in'!A332</f>
        <v>299_U</v>
      </c>
      <c r="B378" s="258" t="s">
        <v>1135</v>
      </c>
      <c r="C378" s="162">
        <f>'r-in'!P332</f>
        <v>4909.6876787897982</v>
      </c>
      <c r="D378" s="162">
        <f>'r-in'!Q332</f>
        <v>3.5656902301176459</v>
      </c>
      <c r="E378" s="81">
        <f>'r-in'!R332</f>
        <v>882552.99646277074</v>
      </c>
      <c r="F378" s="162">
        <f>'r-in'!S332</f>
        <v>0.19554379099658775</v>
      </c>
      <c r="G378" s="81">
        <f>'r-in'!T332</f>
        <v>4276.8251334542074</v>
      </c>
      <c r="H378" s="162">
        <f>'r-in'!U332</f>
        <v>4.2600619563955036</v>
      </c>
      <c r="I378" s="81">
        <f>'r-in'!V332</f>
        <v>4620.2676063922027</v>
      </c>
      <c r="J378" s="162">
        <f>'r-in'!W332</f>
        <v>2.495756774260542</v>
      </c>
      <c r="K378" s="81">
        <f>'r-in'!X332</f>
        <v>3934421.0425765603</v>
      </c>
      <c r="L378" s="162">
        <f>'r-in'!Y332</f>
        <v>0.20165780900006353</v>
      </c>
      <c r="M378" s="81">
        <f>'r-in'!Z332</f>
        <v>3931.5759734206622</v>
      </c>
      <c r="N378" s="162">
        <f>'r-in'!AA332</f>
        <v>5.6707420630733942</v>
      </c>
      <c r="O378" s="81">
        <f>'r-in'!AB332</f>
        <v>847522.10677119775</v>
      </c>
      <c r="P378" s="162">
        <f>'r-in'!AC332</f>
        <v>0.20305940124409141</v>
      </c>
      <c r="Q378" s="81">
        <f>'r-in'!AD332</f>
        <v>3865920.1635456621</v>
      </c>
      <c r="R378" s="162">
        <f>'r-in'!AE332</f>
        <v>0.20364311755790424</v>
      </c>
      <c r="S378" s="157">
        <f>'r-in'!AF332</f>
        <v>4.5356383050593676</v>
      </c>
      <c r="T378" s="157">
        <f>'r-in'!AG332</f>
        <v>1.8664702495921028E-2</v>
      </c>
      <c r="U378" s="157">
        <f>'r-in'!AH332</f>
        <v>4.5614415832654984</v>
      </c>
      <c r="V378" s="157">
        <f>'r-in'!AI332</f>
        <v>2.0692117961970825E-2</v>
      </c>
      <c r="W378" s="158">
        <v>299</v>
      </c>
      <c r="X378" s="764">
        <f t="shared" si="123"/>
        <v>0.88416243351271351</v>
      </c>
      <c r="Y378" s="387">
        <f t="shared" si="125"/>
        <v>4.0330552905861081</v>
      </c>
      <c r="Z378" s="640">
        <f t="shared" si="126"/>
        <v>1.8664702495921028E-2</v>
      </c>
      <c r="AA378" s="473">
        <f t="shared" si="128"/>
        <v>-5.2891131863095353</v>
      </c>
      <c r="AB378" s="478">
        <f t="shared" si="129"/>
        <v>0.185659827718343</v>
      </c>
      <c r="AC378" s="108">
        <v>1</v>
      </c>
      <c r="AD378" s="159">
        <f t="shared" si="124"/>
        <v>7.1336235325154998E-2</v>
      </c>
      <c r="AE378" s="160">
        <v>285</v>
      </c>
      <c r="AF378" s="160">
        <v>14</v>
      </c>
      <c r="AG378" s="160">
        <v>2.1</v>
      </c>
      <c r="AH378" s="303">
        <f t="shared" si="127"/>
        <v>1.4142200071240332</v>
      </c>
      <c r="AI378" s="86">
        <f t="shared" si="130"/>
        <v>983.30038378531538</v>
      </c>
      <c r="AJ378" s="86"/>
      <c r="AK378" s="86"/>
      <c r="AL378" s="775"/>
      <c r="AM378" s="775"/>
      <c r="AN378" s="536"/>
      <c r="AP378" s="53"/>
      <c r="AQ378" s="108"/>
      <c r="AR378" s="108"/>
      <c r="AS378" s="724"/>
      <c r="AT378" s="724"/>
      <c r="AU378" s="724"/>
      <c r="AV378" s="634"/>
      <c r="AW378" s="108"/>
      <c r="AX378" s="725"/>
      <c r="AY378" s="53"/>
      <c r="AZ378" s="108"/>
      <c r="BA378" s="771"/>
      <c r="BB378" s="108"/>
      <c r="BC378" s="724"/>
      <c r="BD378" s="724"/>
      <c r="BE378" s="724"/>
      <c r="BF378" s="634"/>
      <c r="BG378" s="108"/>
      <c r="BH378" s="725"/>
      <c r="BI378" s="725"/>
      <c r="BJ378" s="725"/>
      <c r="BK378" s="725"/>
      <c r="BL378" s="634"/>
      <c r="BM378" s="724"/>
      <c r="BN378" s="475"/>
      <c r="BO378" s="475"/>
      <c r="BP378" s="10"/>
      <c r="BY378" s="14">
        <v>9.9860000000000007</v>
      </c>
    </row>
    <row r="379" spans="1:77" ht="15" customHeight="1" x14ac:dyDescent="0.15">
      <c r="A379" s="782" t="str">
        <f>'r-in'!A333</f>
        <v>300_U</v>
      </c>
      <c r="B379" s="258" t="s">
        <v>1135</v>
      </c>
      <c r="C379" s="162">
        <f>'r-in'!P333</f>
        <v>5102.106592939801</v>
      </c>
      <c r="D379" s="162">
        <f>'r-in'!Q333</f>
        <v>3.4432114072944744</v>
      </c>
      <c r="E379" s="81">
        <f>'r-in'!R333</f>
        <v>977790.43126551516</v>
      </c>
      <c r="F379" s="162">
        <f>'r-in'!S333</f>
        <v>0.13897536244177033</v>
      </c>
      <c r="G379" s="81">
        <f>'r-in'!T333</f>
        <v>4136.7152567768517</v>
      </c>
      <c r="H379" s="162">
        <f>'r-in'!U333</f>
        <v>4.3099527886723266</v>
      </c>
      <c r="I379" s="81">
        <f>'r-in'!V333</f>
        <v>4660.6147832828919</v>
      </c>
      <c r="J379" s="162">
        <f>'r-in'!W333</f>
        <v>2.1296938408759449</v>
      </c>
      <c r="K379" s="81">
        <f>'r-in'!X333</f>
        <v>4374371.5940319747</v>
      </c>
      <c r="L379" s="162">
        <f>'r-in'!Y333</f>
        <v>0.14386244896738606</v>
      </c>
      <c r="M379" s="81">
        <f>'r-in'!Z333</f>
        <v>4017.5256068602653</v>
      </c>
      <c r="N379" s="162">
        <f>'r-in'!AA333</f>
        <v>5.8861463739999733</v>
      </c>
      <c r="O379" s="81">
        <f>'r-in'!AB333</f>
        <v>942542.39832943329</v>
      </c>
      <c r="P379" s="162">
        <f>'r-in'!AC333</f>
        <v>0.14294298153675103</v>
      </c>
      <c r="Q379" s="81">
        <f>'r-in'!AD333</f>
        <v>4306075.183592164</v>
      </c>
      <c r="R379" s="162">
        <f>'r-in'!AE333</f>
        <v>0.14587009262689069</v>
      </c>
      <c r="S379" s="157">
        <f>'r-in'!AF333</f>
        <v>4.5464672922249454</v>
      </c>
      <c r="T379" s="157">
        <f>'r-in'!AG333</f>
        <v>1.8905044286861784E-2</v>
      </c>
      <c r="U379" s="157">
        <f>'r-in'!AH333</f>
        <v>4.5685669565866975</v>
      </c>
      <c r="V379" s="157">
        <f>'r-in'!AI333</f>
        <v>2.0845480269646822E-2</v>
      </c>
      <c r="W379" s="158">
        <v>300</v>
      </c>
      <c r="X379" s="764">
        <f t="shared" si="123"/>
        <v>0.88419244324265234</v>
      </c>
      <c r="Y379" s="387">
        <f t="shared" si="125"/>
        <v>4.0394923794620405</v>
      </c>
      <c r="Z379" s="640">
        <f t="shared" si="126"/>
        <v>1.8905044286861784E-2</v>
      </c>
      <c r="AA379" s="473">
        <f t="shared" si="128"/>
        <v>-3.7014725707138485</v>
      </c>
      <c r="AB379" s="478">
        <f t="shared" si="129"/>
        <v>0.18835067783984361</v>
      </c>
      <c r="AC379" s="108">
        <v>1</v>
      </c>
      <c r="AD379" s="159">
        <f t="shared" si="124"/>
        <v>7.1336235325154998E-2</v>
      </c>
      <c r="AE379" s="160">
        <v>285</v>
      </c>
      <c r="AF379" s="160">
        <v>14</v>
      </c>
      <c r="AG379" s="160">
        <v>2.1</v>
      </c>
      <c r="AH379" s="303">
        <f t="shared" si="127"/>
        <v>1.5784362056187311</v>
      </c>
      <c r="AI379" s="86">
        <f t="shared" si="130"/>
        <v>1071.8227100380334</v>
      </c>
      <c r="AJ379" s="86"/>
      <c r="AK379" s="86"/>
      <c r="AL379" s="86"/>
      <c r="AM379" s="86"/>
      <c r="AN379" s="536"/>
      <c r="AP379" s="53"/>
      <c r="AQ379" s="108"/>
      <c r="AR379" s="110"/>
      <c r="AS379" s="724"/>
      <c r="AT379" s="750"/>
      <c r="AU379" s="750"/>
      <c r="AV379" s="751"/>
      <c r="AW379" s="108"/>
      <c r="AX379" s="724"/>
      <c r="AY379" s="53"/>
      <c r="AZ379" s="108"/>
      <c r="BA379" s="771"/>
      <c r="BB379" s="108"/>
      <c r="BC379" s="724"/>
      <c r="BD379" s="724"/>
      <c r="BE379" s="724"/>
      <c r="BF379" s="634"/>
      <c r="BG379" s="108"/>
      <c r="BH379" s="725"/>
      <c r="BI379" s="725"/>
      <c r="BJ379" s="725"/>
      <c r="BK379" s="725"/>
      <c r="BL379" s="725"/>
      <c r="BM379" s="725"/>
      <c r="BN379" s="475"/>
      <c r="BO379" s="475"/>
      <c r="BP379" s="475"/>
      <c r="BY379" s="14">
        <v>9.9860000000000007</v>
      </c>
    </row>
    <row r="380" spans="1:77" ht="15" customHeight="1" x14ac:dyDescent="0.15">
      <c r="A380" s="782" t="str">
        <f>'r-in'!A334</f>
        <v>309_U</v>
      </c>
      <c r="B380" s="258" t="s">
        <v>1135</v>
      </c>
      <c r="C380" s="162">
        <f>'r-in'!P334</f>
        <v>4926.8845364888675</v>
      </c>
      <c r="D380" s="162">
        <f>'r-in'!Q334</f>
        <v>3.7819351682537707</v>
      </c>
      <c r="E380" s="81">
        <f>'r-in'!R334</f>
        <v>873665.2944437085</v>
      </c>
      <c r="F380" s="162">
        <f>'r-in'!S334</f>
        <v>0.21209504232215379</v>
      </c>
      <c r="G380" s="81">
        <f>'r-in'!T334</f>
        <v>4037.8925713427834</v>
      </c>
      <c r="H380" s="162">
        <f>'r-in'!U334</f>
        <v>4.1866730070187366</v>
      </c>
      <c r="I380" s="81">
        <f>'r-in'!V334</f>
        <v>4520.3316115136349</v>
      </c>
      <c r="J380" s="162">
        <f>'r-in'!W334</f>
        <v>2.87983672067358</v>
      </c>
      <c r="K380" s="81">
        <f>'r-in'!X334</f>
        <v>3917059.5196913481</v>
      </c>
      <c r="L380" s="162">
        <f>'r-in'!Y334</f>
        <v>0.21096422276106527</v>
      </c>
      <c r="M380" s="81">
        <f>'r-in'!Z334</f>
        <v>3458.1751354118605</v>
      </c>
      <c r="N380" s="162">
        <f>'r-in'!AA334</f>
        <v>5.9407001430539141</v>
      </c>
      <c r="O380" s="81">
        <f>'r-in'!AB334</f>
        <v>838483.72909362265</v>
      </c>
      <c r="P380" s="162">
        <f>'r-in'!AC334</f>
        <v>0.21693688735245475</v>
      </c>
      <c r="Q380" s="81">
        <f>'r-in'!AD334</f>
        <v>3848460.7157498552</v>
      </c>
      <c r="R380" s="162">
        <f>'r-in'!AE334</f>
        <v>0.21322095336909339</v>
      </c>
      <c r="S380" s="157">
        <f>'r-in'!AF334</f>
        <v>4.5665433618094964</v>
      </c>
      <c r="T380" s="157">
        <f>'r-in'!AG334</f>
        <v>2.1059203544874391E-2</v>
      </c>
      <c r="U380" s="157">
        <f>'r-in'!AH334</f>
        <v>4.5898206657903104</v>
      </c>
      <c r="V380" s="157">
        <f>'r-in'!AI334</f>
        <v>1.9531425801812153E-2</v>
      </c>
      <c r="W380" s="158">
        <v>309</v>
      </c>
      <c r="X380" s="764">
        <f t="shared" si="123"/>
        <v>0.88449800215511176</v>
      </c>
      <c r="Y380" s="387">
        <f t="shared" si="125"/>
        <v>4.0596872091417744</v>
      </c>
      <c r="Z380" s="640">
        <f t="shared" si="126"/>
        <v>2.1059203544874391E-2</v>
      </c>
      <c r="AA380" s="473">
        <f t="shared" si="128"/>
        <v>1.2793708575100649</v>
      </c>
      <c r="AB380" s="478">
        <f t="shared" si="129"/>
        <v>0.21086146076165768</v>
      </c>
      <c r="AC380" s="108">
        <v>1</v>
      </c>
      <c r="AD380" s="159">
        <f t="shared" si="124"/>
        <v>7.1336235325154998E-2</v>
      </c>
      <c r="AE380" s="160">
        <v>285</v>
      </c>
      <c r="AF380" s="160">
        <v>14</v>
      </c>
      <c r="AG380" s="160">
        <v>2.1</v>
      </c>
      <c r="AH380" s="303">
        <f t="shared" si="127"/>
        <v>1.4386235681454178</v>
      </c>
      <c r="AI380" s="86">
        <f t="shared" si="130"/>
        <v>1112.8588243959809</v>
      </c>
      <c r="AJ380" s="86"/>
      <c r="AK380" s="86"/>
      <c r="AL380" s="775"/>
      <c r="AM380" s="775"/>
      <c r="AN380" s="536"/>
      <c r="AP380" s="53"/>
      <c r="AQ380" s="108"/>
      <c r="AR380" s="108"/>
      <c r="AS380" s="724"/>
      <c r="AT380" s="724"/>
      <c r="AU380" s="724"/>
      <c r="AV380" s="634"/>
      <c r="AW380" s="108"/>
      <c r="AX380" s="725"/>
      <c r="AY380" s="53"/>
      <c r="AZ380" s="108"/>
      <c r="BA380" s="771"/>
      <c r="BB380" s="108"/>
      <c r="BC380" s="724"/>
      <c r="BD380" s="724"/>
      <c r="BE380" s="724"/>
      <c r="BF380" s="634"/>
      <c r="BG380" s="108"/>
      <c r="BH380" s="725"/>
      <c r="BI380" s="725"/>
      <c r="BJ380" s="725"/>
      <c r="BK380" s="725"/>
      <c r="BL380" s="634"/>
      <c r="BM380" s="724"/>
      <c r="BN380" s="475"/>
      <c r="BO380" s="475"/>
      <c r="BP380" s="10"/>
      <c r="BY380" s="14">
        <v>9.9860000000000007</v>
      </c>
    </row>
    <row r="381" spans="1:77" ht="15" customHeight="1" x14ac:dyDescent="0.15">
      <c r="A381" s="782" t="str">
        <f>'r-in'!A335</f>
        <v>310_U</v>
      </c>
      <c r="B381" s="258" t="s">
        <v>1135</v>
      </c>
      <c r="C381" s="162">
        <f>'r-in'!P335</f>
        <v>5081.0576072181211</v>
      </c>
      <c r="D381" s="162">
        <f>'r-in'!Q335</f>
        <v>3.0592932091357494</v>
      </c>
      <c r="E381" s="81">
        <f>'r-in'!R335</f>
        <v>677313.71864955523</v>
      </c>
      <c r="F381" s="162">
        <f>'r-in'!S335</f>
        <v>0.24252000986244707</v>
      </c>
      <c r="G381" s="81">
        <f>'r-in'!T335</f>
        <v>4160.5353657601772</v>
      </c>
      <c r="H381" s="162">
        <f>'r-in'!U335</f>
        <v>4.5070350868316602</v>
      </c>
      <c r="I381" s="81">
        <f>'r-in'!V335</f>
        <v>4660.0852875099363</v>
      </c>
      <c r="J381" s="162">
        <f>'r-in'!W335</f>
        <v>2.223771663724885</v>
      </c>
      <c r="K381" s="81">
        <f>'r-in'!X335</f>
        <v>3000751.7022040645</v>
      </c>
      <c r="L381" s="162">
        <f>'r-in'!Y335</f>
        <v>0.24645947686318345</v>
      </c>
      <c r="M381" s="81">
        <f>'r-in'!Z335</f>
        <v>3941.6634154679869</v>
      </c>
      <c r="N381" s="162">
        <f>'r-in'!AA335</f>
        <v>6.1663257066972967</v>
      </c>
      <c r="O381" s="81">
        <f>'r-in'!AB335</f>
        <v>642103.6145593531</v>
      </c>
      <c r="P381" s="162">
        <f>'r-in'!AC335</f>
        <v>0.25489913499693811</v>
      </c>
      <c r="Q381" s="81">
        <f>'r-in'!AD335</f>
        <v>2931787.9984125993</v>
      </c>
      <c r="R381" s="162">
        <f>'r-in'!AE335</f>
        <v>0.25129763775098507</v>
      </c>
      <c r="S381" s="157">
        <f>'r-in'!AF335</f>
        <v>4.5333166145451624</v>
      </c>
      <c r="T381" s="157">
        <f>'r-in'!AG335</f>
        <v>2.4561030014344121E-2</v>
      </c>
      <c r="U381" s="157">
        <f>'r-in'!AH335</f>
        <v>4.5659538253619889</v>
      </c>
      <c r="V381" s="157">
        <f>'r-in'!AI335</f>
        <v>2.5888532406118384E-2</v>
      </c>
      <c r="W381" s="158">
        <v>310</v>
      </c>
      <c r="X381" s="764">
        <f t="shared" si="123"/>
        <v>0.88453618209628204</v>
      </c>
      <c r="Y381" s="387">
        <f t="shared" si="125"/>
        <v>4.0387513643136081</v>
      </c>
      <c r="Z381" s="640">
        <f t="shared" si="126"/>
        <v>2.4561030014344121E-2</v>
      </c>
      <c r="AA381" s="473">
        <f t="shared" si="128"/>
        <v>-3.8842362033276734</v>
      </c>
      <c r="AB381" s="478">
        <f t="shared" si="129"/>
        <v>0.24465629172365499</v>
      </c>
      <c r="AC381" s="108">
        <v>1</v>
      </c>
      <c r="AD381" s="159">
        <f t="shared" si="124"/>
        <v>7.1336235325154998E-2</v>
      </c>
      <c r="AE381" s="160">
        <v>285</v>
      </c>
      <c r="AF381" s="160">
        <v>14</v>
      </c>
      <c r="AG381" s="160">
        <v>2.1</v>
      </c>
      <c r="AH381" s="303">
        <f t="shared" si="127"/>
        <v>1.0985166476393939</v>
      </c>
      <c r="AI381" s="86">
        <f t="shared" si="130"/>
        <v>743.79460887187736</v>
      </c>
      <c r="AJ381" s="86"/>
      <c r="AK381" s="86"/>
      <c r="AL381" s="86"/>
      <c r="AM381" s="86"/>
      <c r="AN381" s="536"/>
      <c r="AP381" s="53"/>
      <c r="AQ381" s="108"/>
      <c r="AR381" s="110"/>
      <c r="AS381" s="724"/>
      <c r="AT381" s="750"/>
      <c r="AU381" s="750"/>
      <c r="AV381" s="751"/>
      <c r="AW381" s="108"/>
      <c r="AX381" s="724"/>
      <c r="AY381" s="53"/>
      <c r="AZ381" s="108"/>
      <c r="BA381" s="771"/>
      <c r="BB381" s="108"/>
      <c r="BC381" s="724"/>
      <c r="BD381" s="724"/>
      <c r="BE381" s="724"/>
      <c r="BF381" s="634"/>
      <c r="BG381" s="108"/>
      <c r="BH381" s="725"/>
      <c r="BI381" s="725"/>
      <c r="BJ381" s="725"/>
      <c r="BK381" s="725"/>
      <c r="BL381" s="725"/>
      <c r="BM381" s="725"/>
      <c r="BN381" s="475"/>
      <c r="BO381" s="475"/>
      <c r="BP381" s="475"/>
      <c r="BY381" s="14">
        <v>9.9860000000000007</v>
      </c>
    </row>
    <row r="382" spans="1:77" s="680" customFormat="1" ht="15" customHeight="1" x14ac:dyDescent="0.15">
      <c r="A382" s="784" t="str">
        <f>'r-in'!A336</f>
        <v>311_U</v>
      </c>
      <c r="B382" s="258" t="s">
        <v>1135</v>
      </c>
      <c r="C382" s="670">
        <f>'r-in'!P336</f>
        <v>4791.8376989618328</v>
      </c>
      <c r="D382" s="670">
        <f>'r-in'!Q336</f>
        <v>3.6949615124251642</v>
      </c>
      <c r="E382" s="671">
        <f>'r-in'!R336</f>
        <v>741107.56730904861</v>
      </c>
      <c r="F382" s="670">
        <f>'r-in'!S336</f>
        <v>0.14005956912634737</v>
      </c>
      <c r="G382" s="671">
        <f>'r-in'!T336</f>
        <v>4058.9302873829624</v>
      </c>
      <c r="H382" s="670">
        <f>'r-in'!U336</f>
        <v>3.9231869778984785</v>
      </c>
      <c r="I382" s="671">
        <f>'r-in'!V336</f>
        <v>4456.6652074259246</v>
      </c>
      <c r="J382" s="670">
        <f>'r-in'!W336</f>
        <v>2.5201075081043012</v>
      </c>
      <c r="K382" s="671">
        <f>'r-in'!X336</f>
        <v>3288355.8575970205</v>
      </c>
      <c r="L382" s="670">
        <f>'r-in'!Y336</f>
        <v>0.13997288917030404</v>
      </c>
      <c r="M382" s="671">
        <f>'r-in'!Z336</f>
        <v>4254.608139077046</v>
      </c>
      <c r="N382" s="670">
        <f>'r-in'!AA336</f>
        <v>4.7241137935573532</v>
      </c>
      <c r="O382" s="671">
        <f>'r-in'!AB336</f>
        <v>706336.37103473116</v>
      </c>
      <c r="P382" s="670">
        <f>'r-in'!AC336</f>
        <v>0.14532876556172708</v>
      </c>
      <c r="Q382" s="671">
        <f>'r-in'!AD336</f>
        <v>3219954.5473091658</v>
      </c>
      <c r="R382" s="670">
        <f>'r-in'!AE336</f>
        <v>0.14275290906394689</v>
      </c>
      <c r="S382" s="672">
        <f>'r-in'!AF336</f>
        <v>4.5298349846629442</v>
      </c>
      <c r="T382" s="672">
        <f>'r-in'!AG336</f>
        <v>2.2771385178220936E-2</v>
      </c>
      <c r="U382" s="672">
        <f>'r-in'!AH336</f>
        <v>4.5586954991172135</v>
      </c>
      <c r="V382" s="672">
        <f>'r-in'!AI336</f>
        <v>2.4515230291183007E-2</v>
      </c>
      <c r="W382" s="673">
        <v>311</v>
      </c>
      <c r="X382" s="779">
        <f t="shared" si="123"/>
        <v>0.88457526677392984</v>
      </c>
      <c r="Y382" s="674">
        <f t="shared" si="125"/>
        <v>4.0325092872727222</v>
      </c>
      <c r="Z382" s="675">
        <f t="shared" si="126"/>
        <v>2.2771385178220936E-2</v>
      </c>
      <c r="AA382" s="676">
        <f t="shared" si="128"/>
        <v>-5.4237791903509747</v>
      </c>
      <c r="AB382" s="677">
        <f t="shared" si="129"/>
        <v>0.22647878213155614</v>
      </c>
      <c r="AC382" s="678">
        <v>1</v>
      </c>
      <c r="AD382" s="789">
        <f t="shared" si="124"/>
        <v>7.1336235325154998E-2</v>
      </c>
      <c r="AE382" s="679">
        <v>285</v>
      </c>
      <c r="AF382" s="679">
        <v>14</v>
      </c>
      <c r="AG382" s="679">
        <v>2.1</v>
      </c>
      <c r="AH382" s="743">
        <f t="shared" si="127"/>
        <v>1.2093500369088517</v>
      </c>
      <c r="AI382" s="735">
        <f t="shared" si="130"/>
        <v>756.81577293453677</v>
      </c>
      <c r="AJ382" s="735"/>
      <c r="AK382" s="735"/>
      <c r="AL382" s="790"/>
      <c r="AM382" s="790"/>
      <c r="AN382" s="690"/>
      <c r="AP382" s="746"/>
      <c r="AQ382" s="678"/>
      <c r="AR382" s="678"/>
      <c r="AS382" s="752"/>
      <c r="AT382" s="752"/>
      <c r="AU382" s="752"/>
      <c r="AV382" s="773"/>
      <c r="AW382" s="678"/>
      <c r="AX382" s="774"/>
      <c r="AY382" s="746"/>
      <c r="AZ382" s="678"/>
      <c r="BA382" s="772"/>
      <c r="BB382" s="678"/>
      <c r="BC382" s="752"/>
      <c r="BD382" s="752"/>
      <c r="BE382" s="752"/>
      <c r="BF382" s="773"/>
      <c r="BG382" s="678"/>
      <c r="BH382" s="774"/>
      <c r="BI382" s="774"/>
      <c r="BJ382" s="774"/>
      <c r="BK382" s="774"/>
      <c r="BL382" s="773"/>
      <c r="BM382" s="752"/>
      <c r="BN382" s="681"/>
      <c r="BO382" s="681"/>
      <c r="BP382" s="791"/>
      <c r="BY382" s="680">
        <v>9.9860000000000007</v>
      </c>
    </row>
    <row r="383" spans="1:77" ht="15" customHeight="1" x14ac:dyDescent="0.15">
      <c r="A383" s="301"/>
      <c r="B383" s="257"/>
      <c r="C383" s="162"/>
      <c r="D383" s="162"/>
      <c r="E383" s="81"/>
      <c r="F383" s="162"/>
      <c r="G383" s="81"/>
      <c r="H383" s="162"/>
      <c r="I383" s="81"/>
      <c r="J383" s="162"/>
      <c r="K383" s="81"/>
      <c r="L383" s="162"/>
      <c r="M383" s="81"/>
      <c r="N383" s="162"/>
      <c r="O383" s="81"/>
      <c r="P383" s="162"/>
      <c r="Q383" s="81"/>
      <c r="R383" s="162"/>
      <c r="S383" s="157"/>
      <c r="T383" s="157"/>
      <c r="U383" s="157"/>
      <c r="V383" s="157"/>
      <c r="W383" s="158"/>
      <c r="X383" s="591"/>
      <c r="Y383" s="387"/>
      <c r="Z383" s="387"/>
      <c r="AA383" s="473"/>
      <c r="AB383" s="478"/>
      <c r="AC383" s="108"/>
      <c r="AD383" s="159"/>
      <c r="AE383" s="160"/>
      <c r="AF383" s="160"/>
      <c r="AG383" s="160"/>
      <c r="AH383" s="303"/>
      <c r="AI383" s="536"/>
      <c r="AJ383" s="536"/>
      <c r="AK383" s="536"/>
      <c r="AL383" s="536"/>
      <c r="AM383" s="536"/>
      <c r="AN383" s="536"/>
      <c r="AO383" s="81"/>
      <c r="AP383" s="724"/>
      <c r="AQ383" s="724"/>
      <c r="AR383" s="109"/>
      <c r="AS383" s="109"/>
      <c r="AT383" s="724"/>
      <c r="AU383" s="724"/>
      <c r="AV383" s="751"/>
      <c r="AW383" s="724"/>
      <c r="AX383" s="53"/>
      <c r="AY383" s="53"/>
      <c r="AZ383" s="53"/>
      <c r="BA383" s="53"/>
      <c r="BB383" s="53"/>
      <c r="BC383" s="53"/>
      <c r="BD383" s="53"/>
      <c r="BE383" s="53"/>
      <c r="BF383" s="53"/>
      <c r="BG383" s="53"/>
      <c r="BH383" s="53"/>
      <c r="BI383" s="53"/>
      <c r="BJ383" s="53"/>
      <c r="BK383" s="725"/>
      <c r="BL383" s="725"/>
      <c r="BM383" s="725"/>
      <c r="BN383" s="475"/>
      <c r="BO383" s="475"/>
      <c r="BP383" s="475"/>
    </row>
    <row r="384" spans="1:77" s="204" customFormat="1" ht="15" customHeight="1" x14ac:dyDescent="0.15">
      <c r="A384" s="612"/>
      <c r="B384" s="256"/>
      <c r="C384" s="474"/>
      <c r="D384" s="474"/>
      <c r="E384" s="203"/>
      <c r="F384" s="474"/>
      <c r="G384" s="203"/>
      <c r="H384" s="474"/>
      <c r="I384" s="203"/>
      <c r="J384" s="474"/>
      <c r="K384" s="203"/>
      <c r="L384" s="474"/>
      <c r="M384" s="203"/>
      <c r="N384" s="474"/>
      <c r="O384" s="203"/>
      <c r="P384" s="474"/>
      <c r="Q384" s="203"/>
      <c r="R384" s="474"/>
      <c r="S384" s="584"/>
      <c r="T384" s="584"/>
      <c r="U384" s="584"/>
      <c r="V384" s="584"/>
      <c r="W384" s="390"/>
      <c r="X384" s="591"/>
      <c r="Y384" s="611"/>
      <c r="Z384" s="611"/>
      <c r="AA384" s="547"/>
      <c r="AB384" s="479"/>
      <c r="AC384" s="104"/>
      <c r="AD384" s="578"/>
      <c r="AE384" s="391"/>
      <c r="AF384" s="391"/>
      <c r="AG384" s="391"/>
      <c r="AH384" s="563"/>
      <c r="AI384" s="544"/>
      <c r="AJ384" s="690"/>
      <c r="AK384" s="690"/>
      <c r="AL384" s="690"/>
      <c r="AM384" s="690"/>
      <c r="AN384" s="544"/>
      <c r="AO384" s="203"/>
      <c r="AP384" s="613"/>
      <c r="AQ384" s="614"/>
      <c r="AR384" s="615"/>
      <c r="AS384" s="577"/>
      <c r="AT384" s="659"/>
      <c r="AU384" s="577"/>
      <c r="AV384" s="566"/>
      <c r="AW384" s="609"/>
      <c r="AX384" s="14"/>
      <c r="AY384" s="14"/>
      <c r="AZ384" s="14"/>
      <c r="BA384" s="14"/>
      <c r="BB384" s="14"/>
      <c r="BC384" s="14"/>
      <c r="BD384" s="14"/>
      <c r="BE384" s="14"/>
      <c r="BF384" s="14"/>
      <c r="BG384" s="14"/>
      <c r="BH384" s="14"/>
      <c r="BI384" s="14"/>
      <c r="BJ384" s="14"/>
      <c r="BK384" s="255"/>
      <c r="BL384" s="616"/>
      <c r="BM384" s="577"/>
      <c r="BN384" s="564"/>
      <c r="BO384" s="564"/>
      <c r="BP384" s="577"/>
    </row>
    <row r="385" spans="1:47" ht="15" customHeight="1" x14ac:dyDescent="0.15">
      <c r="A385" s="162"/>
      <c r="B385" s="162"/>
      <c r="C385" s="162"/>
      <c r="D385" s="162"/>
      <c r="E385" s="81"/>
      <c r="F385" s="162"/>
      <c r="G385" s="81"/>
      <c r="H385" s="162"/>
      <c r="I385" s="81"/>
      <c r="J385" s="162"/>
      <c r="K385" s="81"/>
      <c r="L385" s="162"/>
      <c r="M385" s="81"/>
      <c r="N385" s="162"/>
      <c r="O385" s="81"/>
      <c r="P385" s="162"/>
      <c r="Q385" s="81"/>
      <c r="R385" s="162"/>
      <c r="S385" s="157"/>
      <c r="T385" s="157"/>
      <c r="U385" s="157"/>
      <c r="V385" s="157"/>
      <c r="W385" s="157"/>
      <c r="X385" s="588"/>
      <c r="Y385" s="157"/>
      <c r="Z385" s="157"/>
      <c r="AA385" s="157"/>
      <c r="AB385" s="157"/>
      <c r="AC385" s="157"/>
      <c r="AD385" s="157"/>
      <c r="AE385" s="157"/>
      <c r="AF385" s="157"/>
      <c r="AG385" s="157"/>
      <c r="AH385" s="157"/>
      <c r="AI385" s="157"/>
      <c r="AJ385" s="157"/>
      <c r="AK385" s="157"/>
      <c r="AL385" s="157"/>
      <c r="AM385" s="157"/>
      <c r="AP385" s="543"/>
      <c r="AQ385" s="157"/>
      <c r="AU385" s="14"/>
    </row>
    <row r="386" spans="1:47" ht="15" customHeight="1" x14ac:dyDescent="0.15">
      <c r="A386" s="162"/>
      <c r="B386" s="162"/>
      <c r="C386" s="162"/>
      <c r="D386" s="162"/>
      <c r="E386" s="81"/>
      <c r="F386" s="162"/>
      <c r="G386" s="81"/>
      <c r="H386" s="162"/>
      <c r="I386" s="81"/>
      <c r="J386" s="162"/>
      <c r="K386" s="81"/>
      <c r="L386" s="162"/>
      <c r="M386" s="81"/>
      <c r="N386" s="162"/>
      <c r="O386" s="81"/>
      <c r="P386" s="162"/>
      <c r="Q386" s="81"/>
      <c r="R386" s="162"/>
      <c r="S386" s="157"/>
      <c r="T386" s="157"/>
      <c r="U386" s="157"/>
      <c r="V386" s="157"/>
      <c r="W386" s="157"/>
      <c r="X386" s="157"/>
      <c r="Y386" s="157"/>
      <c r="Z386" s="157"/>
      <c r="AA386" s="157"/>
      <c r="AB386" s="157"/>
      <c r="AC386" s="157"/>
      <c r="AD386" s="157"/>
      <c r="AE386" s="157"/>
      <c r="AF386" s="157"/>
      <c r="AG386" s="157"/>
      <c r="AH386" s="157"/>
      <c r="AI386" s="157"/>
      <c r="AJ386" s="157"/>
      <c r="AK386" s="157"/>
      <c r="AL386" s="157"/>
      <c r="AM386" s="157"/>
      <c r="AP386" s="543"/>
      <c r="AQ386" s="157"/>
      <c r="AU386" s="14"/>
    </row>
    <row r="387" spans="1:47" ht="15" customHeight="1" x14ac:dyDescent="0.15">
      <c r="A387" s="162"/>
      <c r="B387" s="162"/>
      <c r="C387" s="162"/>
      <c r="D387" s="162"/>
      <c r="E387" s="81"/>
      <c r="F387" s="162"/>
      <c r="G387" s="81"/>
      <c r="H387" s="162"/>
      <c r="I387" s="81"/>
      <c r="J387" s="162"/>
      <c r="K387" s="81"/>
      <c r="L387" s="162"/>
      <c r="M387" s="81"/>
      <c r="N387" s="162"/>
      <c r="O387" s="81"/>
      <c r="P387" s="162"/>
      <c r="Q387" s="81"/>
      <c r="R387" s="162"/>
      <c r="S387" s="157"/>
      <c r="T387" s="157"/>
      <c r="U387" s="157"/>
      <c r="V387" s="157"/>
      <c r="W387" s="157"/>
      <c r="X387" s="157"/>
      <c r="Y387" s="157"/>
      <c r="Z387" s="157"/>
      <c r="AA387" s="157"/>
      <c r="AB387" s="157"/>
      <c r="AC387" s="157"/>
      <c r="AD387" s="157"/>
      <c r="AE387" s="157"/>
      <c r="AF387" s="157"/>
      <c r="AG387" s="157"/>
      <c r="AH387" s="157"/>
      <c r="AI387" s="157"/>
      <c r="AJ387" s="157"/>
      <c r="AK387" s="157"/>
      <c r="AL387" s="157"/>
      <c r="AM387" s="157"/>
      <c r="AO387" s="157"/>
      <c r="AP387" s="543"/>
    </row>
    <row r="388" spans="1:47" ht="15" customHeight="1" x14ac:dyDescent="0.15">
      <c r="A388" s="162"/>
      <c r="B388" s="162"/>
      <c r="C388" s="162"/>
      <c r="D388" s="162"/>
      <c r="E388" s="81"/>
      <c r="F388" s="162"/>
      <c r="G388" s="81"/>
      <c r="H388" s="162"/>
      <c r="I388" s="81"/>
      <c r="J388" s="162"/>
      <c r="K388" s="81"/>
      <c r="L388" s="162"/>
      <c r="M388" s="81"/>
      <c r="N388" s="162"/>
      <c r="O388" s="81"/>
      <c r="P388" s="162"/>
      <c r="Q388" s="81"/>
      <c r="R388" s="162"/>
      <c r="S388" s="157"/>
      <c r="T388" s="157"/>
      <c r="U388" s="157"/>
      <c r="V388" s="157"/>
      <c r="W388" s="157"/>
      <c r="X388" s="157"/>
      <c r="Y388" s="157"/>
      <c r="Z388" s="157"/>
      <c r="AA388" s="157"/>
      <c r="AB388" s="157"/>
      <c r="AC388" s="157"/>
      <c r="AD388" s="157"/>
      <c r="AE388" s="157"/>
      <c r="AF388" s="157"/>
      <c r="AG388" s="157"/>
      <c r="AH388" s="157"/>
      <c r="AI388" s="157"/>
      <c r="AJ388" s="157"/>
      <c r="AK388" s="157"/>
      <c r="AL388" s="157"/>
      <c r="AM388" s="157"/>
      <c r="AN388" s="157"/>
      <c r="AO388" s="157"/>
      <c r="AP388" s="540"/>
    </row>
    <row r="389" spans="1:47" ht="15" customHeight="1" x14ac:dyDescent="0.15">
      <c r="B389" s="14"/>
      <c r="C389" s="14"/>
      <c r="AP389" s="540"/>
    </row>
    <row r="390" spans="1:47" ht="15" customHeight="1" x14ac:dyDescent="0.15">
      <c r="AP390" s="540"/>
    </row>
    <row r="391" spans="1:47" ht="15" customHeight="1" x14ac:dyDescent="0.15">
      <c r="AP391" s="540"/>
    </row>
    <row r="392" spans="1:47" ht="15" customHeight="1" x14ac:dyDescent="0.15">
      <c r="AP392" s="540"/>
    </row>
    <row r="393" spans="1:47" ht="15" customHeight="1" x14ac:dyDescent="0.15">
      <c r="AP393" s="540"/>
    </row>
    <row r="394" spans="1:47" ht="15" customHeight="1" x14ac:dyDescent="0.15">
      <c r="AP394" s="540"/>
    </row>
    <row r="395" spans="1:47" ht="15" customHeight="1" x14ac:dyDescent="0.15">
      <c r="AP395" s="540"/>
    </row>
    <row r="396" spans="1:47" ht="15" customHeight="1" x14ac:dyDescent="0.15">
      <c r="AP396" s="540"/>
    </row>
    <row r="397" spans="1:47" ht="15" customHeight="1" x14ac:dyDescent="0.15">
      <c r="AP397" s="540"/>
    </row>
    <row r="398" spans="1:47" ht="15" customHeight="1" x14ac:dyDescent="0.15">
      <c r="AP398" s="540"/>
    </row>
    <row r="399" spans="1:47" ht="15" customHeight="1" x14ac:dyDescent="0.15">
      <c r="AP399" s="540"/>
    </row>
    <row r="400" spans="1:47" ht="15" customHeight="1" x14ac:dyDescent="0.15">
      <c r="AP400" s="540"/>
    </row>
    <row r="401" spans="42:42" ht="15" customHeight="1" x14ac:dyDescent="0.15">
      <c r="AP401" s="540"/>
    </row>
    <row r="402" spans="42:42" ht="15" customHeight="1" x14ac:dyDescent="0.15">
      <c r="AP402" s="540"/>
    </row>
    <row r="403" spans="42:42" ht="15" customHeight="1" x14ac:dyDescent="0.15">
      <c r="AP403" s="540"/>
    </row>
    <row r="404" spans="42:42" ht="15" customHeight="1" x14ac:dyDescent="0.15">
      <c r="AP404" s="540"/>
    </row>
    <row r="405" spans="42:42" ht="15" customHeight="1" x14ac:dyDescent="0.15">
      <c r="AP405" s="540"/>
    </row>
    <row r="406" spans="42:42" ht="15" customHeight="1" x14ac:dyDescent="0.15">
      <c r="AP406" s="540"/>
    </row>
    <row r="407" spans="42:42" ht="15" customHeight="1" x14ac:dyDescent="0.15">
      <c r="AP407" s="540"/>
    </row>
    <row r="408" spans="42:42" ht="15" customHeight="1" x14ac:dyDescent="0.15">
      <c r="AP408" s="540"/>
    </row>
    <row r="409" spans="42:42" ht="15" customHeight="1" x14ac:dyDescent="0.15">
      <c r="AP409" s="540"/>
    </row>
    <row r="410" spans="42:42" ht="15" customHeight="1" x14ac:dyDescent="0.15">
      <c r="AP410" s="540"/>
    </row>
    <row r="411" spans="42:42" ht="15" customHeight="1" x14ac:dyDescent="0.15">
      <c r="AP411" s="540"/>
    </row>
    <row r="412" spans="42:42" ht="15" customHeight="1" x14ac:dyDescent="0.15">
      <c r="AP412" s="540"/>
    </row>
    <row r="413" spans="42:42" ht="15" customHeight="1" x14ac:dyDescent="0.15">
      <c r="AP413" s="540"/>
    </row>
    <row r="414" spans="42:42" ht="15" customHeight="1" x14ac:dyDescent="0.15">
      <c r="AP414" s="540"/>
    </row>
    <row r="415" spans="42:42" ht="15" customHeight="1" x14ac:dyDescent="0.15">
      <c r="AP415" s="540"/>
    </row>
    <row r="416" spans="42:42" ht="15" customHeight="1" x14ac:dyDescent="0.15">
      <c r="AP416" s="540"/>
    </row>
    <row r="417" spans="42:42" ht="15" customHeight="1" x14ac:dyDescent="0.15">
      <c r="AP417" s="540"/>
    </row>
    <row r="418" spans="42:42" ht="15" customHeight="1" x14ac:dyDescent="0.15">
      <c r="AP418" s="540"/>
    </row>
    <row r="419" spans="42:42" ht="15" customHeight="1" x14ac:dyDescent="0.15">
      <c r="AP419" s="540"/>
    </row>
    <row r="420" spans="42:42" ht="15" customHeight="1" x14ac:dyDescent="0.15">
      <c r="AP420" s="540"/>
    </row>
    <row r="421" spans="42:42" ht="15" customHeight="1" x14ac:dyDescent="0.15">
      <c r="AP421" s="540"/>
    </row>
    <row r="422" spans="42:42" ht="15" customHeight="1" x14ac:dyDescent="0.15">
      <c r="AP422" s="540"/>
    </row>
    <row r="423" spans="42:42" ht="15" customHeight="1" x14ac:dyDescent="0.15">
      <c r="AP423" s="540"/>
    </row>
    <row r="424" spans="42:42" ht="15" customHeight="1" x14ac:dyDescent="0.15">
      <c r="AP424" s="540"/>
    </row>
    <row r="425" spans="42:42" ht="15" customHeight="1" x14ac:dyDescent="0.15">
      <c r="AP425" s="540"/>
    </row>
  </sheetData>
  <mergeCells count="1">
    <mergeCell ref="AJ126:AM126"/>
  </mergeCells>
  <phoneticPr fontId="58" type="noConversion"/>
  <conditionalFormatting sqref="AO383:AO384 AC102:AC105 AC112:AC115 AR4:AU4 AW4 AR6:AU6 AR8:AU8 AR10:AU10 AR12:AU12 AR14:AU14 AR16:AU16 AW6 AW8 AW10 AW12 AW14 AW16 AO3:AO16 AX3:BB16 AC3:AC16 AC41:AC55 AC62:AC75 AC82:AC95 AC128:AC384">
    <cfRule type="cellIs" dxfId="576" priority="131" operator="equal">
      <formula>1</formula>
    </cfRule>
  </conditionalFormatting>
  <conditionalFormatting sqref="L31:R34">
    <cfRule type="containsErrors" dxfId="575" priority="76">
      <formula>ISERROR(L31)</formula>
    </cfRule>
  </conditionalFormatting>
  <conditionalFormatting sqref="W60:W61 Y60:AB61">
    <cfRule type="cellIs" dxfId="574" priority="7490" operator="greaterThan">
      <formula>#REF!</formula>
    </cfRule>
  </conditionalFormatting>
  <conditionalFormatting sqref="L37:O37">
    <cfRule type="containsErrors" dxfId="573" priority="43">
      <formula>ISERROR(L37)</formula>
    </cfRule>
  </conditionalFormatting>
  <conditionalFormatting sqref="L38:R38">
    <cfRule type="containsErrors" dxfId="572" priority="2">
      <formula>ISERROR(L38)</formula>
    </cfRule>
  </conditionalFormatting>
  <conditionalFormatting sqref="L39:R39">
    <cfRule type="containsErrors" dxfId="571" priority="1">
      <formula>ISERROR(L39)</formula>
    </cfRule>
  </conditionalFormatting>
  <pageMargins left="0.51181102362204722" right="0.51181102362204722" top="0.59055118110236215" bottom="0.59055118110236215" header="0.31496062992125984" footer="0.31496062992125984"/>
  <pageSetup paperSize="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3">
    <tabColor rgb="FF00FF00"/>
    <pageSetUpPr autoPageBreaks="0"/>
  </sheetPr>
  <dimension ref="A1:AQ511"/>
  <sheetViews>
    <sheetView zoomScale="70" zoomScaleNormal="70" workbookViewId="0">
      <selection activeCell="T3" sqref="T3"/>
    </sheetView>
  </sheetViews>
  <sheetFormatPr baseColWidth="10" defaultColWidth="11.5" defaultRowHeight="13" x14ac:dyDescent="0.15"/>
  <cols>
    <col min="1" max="1" width="14.83203125" style="88" bestFit="1" customWidth="1"/>
    <col min="2" max="2" width="16" style="89" customWidth="1"/>
    <col min="3" max="3" width="15.5" style="14" customWidth="1"/>
    <col min="4" max="4" width="11.6640625" style="14" customWidth="1"/>
    <col min="5" max="5" width="13" style="14" customWidth="1"/>
    <col min="6" max="6" width="12.6640625" style="14" bestFit="1" customWidth="1"/>
    <col min="7" max="7" width="13.5" style="14" bestFit="1" customWidth="1"/>
    <col min="8" max="8" width="14.5" style="14" customWidth="1"/>
    <col min="9" max="9" width="6.5" style="14" bestFit="1" customWidth="1"/>
    <col min="10" max="10" width="10.5" style="14" customWidth="1"/>
    <col min="11" max="11" width="10" style="14" customWidth="1"/>
    <col min="12" max="12" width="10.1640625" style="14" customWidth="1"/>
    <col min="13" max="13" width="10.6640625" style="14" customWidth="1"/>
    <col min="14" max="14" width="8.33203125" style="14" customWidth="1"/>
    <col min="15" max="15" width="12.6640625" style="14" customWidth="1"/>
    <col min="16" max="20" width="9.6640625" style="14" customWidth="1"/>
    <col min="21" max="21" width="11.1640625" style="14" bestFit="1" customWidth="1"/>
    <col min="22" max="22" width="11" style="14" bestFit="1" customWidth="1"/>
    <col min="23" max="23" width="9.6640625" style="14" customWidth="1"/>
    <col min="24" max="24" width="11" style="14" bestFit="1" customWidth="1"/>
    <col min="25" max="26" width="9.6640625" style="14" customWidth="1"/>
    <col min="27" max="27" width="3.6640625" style="14" customWidth="1"/>
    <col min="28" max="28" width="9" style="14" customWidth="1"/>
    <col min="29" max="29" width="8.33203125" style="14" bestFit="1" customWidth="1"/>
    <col min="30" max="30" width="12.1640625" style="14" customWidth="1"/>
    <col min="31" max="31" width="8.1640625" style="14" customWidth="1"/>
    <col min="32" max="32" width="8.33203125" style="14" bestFit="1" customWidth="1"/>
    <col min="33" max="33" width="9.6640625" style="14" customWidth="1"/>
    <col min="34" max="34" width="9.6640625" style="14" bestFit="1" customWidth="1"/>
    <col min="35" max="35" width="8.83203125" style="14" bestFit="1" customWidth="1"/>
    <col min="36" max="40" width="10.6640625" style="14" customWidth="1"/>
  </cols>
  <sheetData>
    <row r="1" spans="1:38" s="14" customFormat="1" ht="14" x14ac:dyDescent="0.15">
      <c r="A1" s="466">
        <v>9.92</v>
      </c>
      <c r="B1" s="466" t="s">
        <v>416</v>
      </c>
      <c r="C1" s="466">
        <v>10.06</v>
      </c>
      <c r="D1" s="466">
        <v>10.013</v>
      </c>
      <c r="E1" s="466" t="s">
        <v>417</v>
      </c>
      <c r="F1" s="467" t="s">
        <v>580</v>
      </c>
      <c r="G1" s="467" t="s">
        <v>424</v>
      </c>
      <c r="H1" s="466" t="s">
        <v>417</v>
      </c>
      <c r="I1" s="24"/>
      <c r="J1" s="422" t="s">
        <v>418</v>
      </c>
      <c r="K1" s="423" t="s">
        <v>428</v>
      </c>
      <c r="L1" s="25"/>
      <c r="M1" s="421"/>
      <c r="N1" s="468" t="s">
        <v>18</v>
      </c>
      <c r="O1" s="185">
        <v>4000</v>
      </c>
      <c r="P1" s="14" t="s">
        <v>446</v>
      </c>
      <c r="Q1" s="14" t="s">
        <v>447</v>
      </c>
      <c r="S1" s="469" t="s">
        <v>418</v>
      </c>
      <c r="T1" s="26" t="s">
        <v>19</v>
      </c>
      <c r="U1" s="26"/>
      <c r="V1" s="26"/>
      <c r="W1" s="469" t="s">
        <v>418</v>
      </c>
      <c r="X1" s="470" t="s">
        <v>427</v>
      </c>
      <c r="Y1" s="26"/>
      <c r="Z1" s="465"/>
      <c r="AA1" s="497"/>
      <c r="AB1" s="498">
        <v>9.9860000000000007</v>
      </c>
      <c r="AC1" s="499" t="s">
        <v>416</v>
      </c>
      <c r="AD1" s="499">
        <v>10.038</v>
      </c>
      <c r="AE1" s="499" t="s">
        <v>583</v>
      </c>
      <c r="AF1" s="500" t="s">
        <v>417</v>
      </c>
      <c r="AG1" s="505" t="s">
        <v>582</v>
      </c>
      <c r="AH1" s="498" t="s">
        <v>425</v>
      </c>
      <c r="AI1" s="500" t="s">
        <v>426</v>
      </c>
      <c r="AJ1" s="27"/>
      <c r="AK1" s="53"/>
    </row>
    <row r="2" spans="1:38" s="14" customFormat="1" ht="16" x14ac:dyDescent="0.15">
      <c r="A2" s="494"/>
      <c r="B2" s="28"/>
      <c r="C2" s="29"/>
      <c r="D2" s="30"/>
      <c r="E2" s="32"/>
      <c r="F2" s="759"/>
      <c r="G2" s="392"/>
      <c r="H2" s="29"/>
      <c r="I2" s="377"/>
      <c r="J2" s="302"/>
      <c r="K2" s="46"/>
      <c r="L2" s="184">
        <v>7</v>
      </c>
      <c r="M2" s="443"/>
      <c r="N2" s="35"/>
      <c r="O2" s="476">
        <f>Q3-Q2</f>
        <v>9.6000000000000085E-2</v>
      </c>
      <c r="P2" s="476">
        <f>Q2-O3</f>
        <v>9.9169</v>
      </c>
      <c r="Q2" s="477">
        <v>10.39</v>
      </c>
      <c r="S2" s="37"/>
      <c r="T2" s="38"/>
      <c r="U2" s="38"/>
      <c r="V2" s="38"/>
      <c r="W2" s="39"/>
      <c r="X2" s="40"/>
      <c r="Y2" s="40"/>
      <c r="Z2" s="41"/>
      <c r="AA2" s="510"/>
      <c r="AB2" s="501"/>
      <c r="AC2" s="28"/>
      <c r="AD2" s="29"/>
      <c r="AE2" s="30"/>
      <c r="AF2" s="502"/>
      <c r="AG2" s="506"/>
      <c r="AH2" s="392"/>
      <c r="AI2" s="502"/>
      <c r="AJ2" s="45"/>
      <c r="AK2" s="463"/>
    </row>
    <row r="3" spans="1:38" s="14" customFormat="1" ht="12" customHeight="1" x14ac:dyDescent="0.15">
      <c r="A3" s="32">
        <f t="shared" ref="A3:A34" ca="1" si="0">IFERROR(INDIRECT(ADDRESS(MATCH(FirstLine+15,RawEntrie,0)+ROW(RawEntrie)+ROW()-20,3)),"")-$P$9</f>
        <v>-47.739991166054097</v>
      </c>
      <c r="B3" s="32">
        <f t="shared" ref="B3:B34" ca="1" si="1">IFERROR(INDIRECT(ADDRESS(MATCH(FirstLine+15,RawEntrie,0)+ROW(RawEntrie)+ROW()-20,4)),"")</f>
        <v>1598964.6344628278</v>
      </c>
      <c r="C3" s="32">
        <f t="shared" ref="C3:C34" ca="1" si="2">IFERROR(INDIRECT(ADDRESS(MATCH(FirstLine+15,RawEntrie,0)+ROW(RawEntrie)+ROW()-20,5)),"")-$P$11</f>
        <v>4056.6138929901099</v>
      </c>
      <c r="D3" s="183">
        <f t="shared" ref="D3:D34" ca="1" si="3">IFERROR(((_10Bmass-$P$2)*(($A3)-($C3))/($P$2-$P$4)+$A3),"")</f>
        <v>1829.2590618714546</v>
      </c>
      <c r="E3" s="32">
        <f t="shared" ref="E3:E34" ca="1" si="4">IFERROR(INDIRECT(ADDRESS(MATCH(FirstLine+15,RawEntrie,0)+ROW(RawEntrie)+ROW()-20,7)),"")</f>
        <v>7246510.7645636154</v>
      </c>
      <c r="F3" s="760">
        <f t="shared" ref="F3:F34" ca="1" si="5">IFERROR(INDIRECT(ADDRESS(MATCH(FirstLine+15,RawEntrie,0)+ROW(RawEntrie)+ROW()-20,19)),"")</f>
        <v>405.04290285955813</v>
      </c>
      <c r="G3" s="531">
        <f t="shared" ref="G3:G34" ca="1" si="6">IFERROR(_10B-$P$10-_10Bbul,"")</f>
        <v>1564255.9744692396</v>
      </c>
      <c r="H3" s="532">
        <f t="shared" ref="H3:H34" ca="1" si="7">IFERROR(_11B-$P$13-_11Bbul,"")</f>
        <v>7175318.7841663975</v>
      </c>
      <c r="I3" s="31">
        <f t="shared" ref="I3:I34" ca="1" si="8">IFERROR(INDIRECT(ADDRESS(MATCH(FirstLine+15,RawEntrie,0)+ROW(RawEntrie)+ROW()-20,1)),"")</f>
        <v>6</v>
      </c>
      <c r="J3" s="302"/>
      <c r="K3" s="46"/>
      <c r="L3" s="440"/>
      <c r="M3" s="441"/>
      <c r="N3" s="45">
        <f ca="1">IFERROR(IFNEG(INDIRECT(ADDRESS(MATCH(FirstLine+15,RawEntrie,0)+ROW(RawEntrie)+ROW()-20,2))-INDIRECT(ADDRESS(MATCH(1+15,RawEntrie,0)+ROW(RawEntrie)-17,2)),""),"")</f>
        <v>0.4083199999995486</v>
      </c>
      <c r="O3" s="476">
        <f>Q3-P3</f>
        <v>0.47310000000000052</v>
      </c>
      <c r="P3" s="476">
        <v>10.0129</v>
      </c>
      <c r="Q3" s="477">
        <v>10.486000000000001</v>
      </c>
      <c r="R3" s="322">
        <f t="shared" ref="R3:R37" ca="1" si="9">IFERROR(_10B-$P$10,"")</f>
        <v>1566085.2335311112</v>
      </c>
      <c r="S3" s="37">
        <f t="shared" ref="S3:S11" ca="1" si="10">IFERROR(IF(E3&gt;LimitSignB11b,E3/B3,""),"")</f>
        <v>4.5320019019670692</v>
      </c>
      <c r="T3" s="38" t="s">
        <v>496</v>
      </c>
      <c r="U3" s="38" t="str">
        <f t="shared" ref="U3:V22" ca="1" si="11">IF(T3&gt;T$104,"",IF(T3&lt;T$105,"",T3))</f>
        <v/>
      </c>
      <c r="V3" s="38" t="str">
        <f t="shared" ca="1" si="11"/>
        <v/>
      </c>
      <c r="W3" s="37">
        <f t="shared" ref="W3:W25" ca="1" si="12">IFERROR(IF(E3&gt;LimitSignB11b,H3/G3,""),"")</f>
        <v>4.5870489876831195</v>
      </c>
      <c r="X3" s="38">
        <f t="shared" ref="X3:Z22" ca="1" si="13">IF(W3&gt;W$104,"",IF(W3&lt;W$105,"",W3))</f>
        <v>4.5870489876831195</v>
      </c>
      <c r="Y3" s="38">
        <f t="shared" ca="1" si="13"/>
        <v>4.5870489876831195</v>
      </c>
      <c r="Z3" s="47">
        <f t="shared" ca="1" si="13"/>
        <v>4.5870489876831195</v>
      </c>
      <c r="AA3" s="511" t="str">
        <f t="shared" ref="AA3:AA25" si="14">IF(K3&lt;&gt;"",1,"")</f>
        <v/>
      </c>
      <c r="AB3" s="503" t="str">
        <f t="shared" ref="AB3:AB25" si="15">IF($AA3=1,A3," ")</f>
        <v xml:space="preserve"> </v>
      </c>
      <c r="AC3" s="70" t="str">
        <f t="shared" ref="AC3:AI18" si="16">IF($AA3=1,B3," ")</f>
        <v xml:space="preserve"> </v>
      </c>
      <c r="AD3" s="70" t="str">
        <f t="shared" si="16"/>
        <v xml:space="preserve"> </v>
      </c>
      <c r="AE3" s="70" t="str">
        <f t="shared" si="16"/>
        <v xml:space="preserve"> </v>
      </c>
      <c r="AF3" s="504" t="str">
        <f t="shared" si="16"/>
        <v xml:space="preserve"> </v>
      </c>
      <c r="AG3" s="507" t="str">
        <f>IF($AA3=1,R3," ")</f>
        <v xml:space="preserve"> </v>
      </c>
      <c r="AH3" s="503" t="str">
        <f t="shared" si="16"/>
        <v xml:space="preserve"> </v>
      </c>
      <c r="AI3" s="504" t="str">
        <f t="shared" si="16"/>
        <v xml:space="preserve"> </v>
      </c>
      <c r="AJ3" s="45">
        <f t="shared" ref="AJ3:AJ100" ca="1" si="17">IF(ClcSeconds="",NA(),ClcSeconds)</f>
        <v>0.4083199999995486</v>
      </c>
      <c r="AK3" s="464" t="e">
        <f t="shared" ref="AK3:AK25" si="18">IF(K3="",NA(),K3)</f>
        <v>#N/A</v>
      </c>
      <c r="AL3" s="279"/>
    </row>
    <row r="4" spans="1:38" s="14" customFormat="1" ht="12" customHeight="1" x14ac:dyDescent="0.15">
      <c r="A4" s="32">
        <f t="shared" ca="1" si="0"/>
        <v>-693.33985050541742</v>
      </c>
      <c r="B4" s="32">
        <f t="shared" ca="1" si="1"/>
        <v>1634034.8983126709</v>
      </c>
      <c r="C4" s="32">
        <f t="shared" ca="1" si="2"/>
        <v>841.31742646309067</v>
      </c>
      <c r="D4" s="183">
        <f t="shared" ca="1" si="3"/>
        <v>8.4880953563316552</v>
      </c>
      <c r="E4" s="32">
        <f t="shared" ca="1" si="4"/>
        <v>7412058.1605484132</v>
      </c>
      <c r="F4" s="760">
        <f t="shared" ca="1" si="5"/>
        <v>367.71194962643312</v>
      </c>
      <c r="G4" s="531">
        <f t="shared" ca="1" si="6"/>
        <v>1601147.0092855978</v>
      </c>
      <c r="H4" s="532">
        <f t="shared" ca="1" si="7"/>
        <v>7340903.5111044291</v>
      </c>
      <c r="I4" s="31">
        <f t="shared" ca="1" si="8"/>
        <v>7</v>
      </c>
      <c r="J4" s="302"/>
      <c r="K4" s="46"/>
      <c r="L4" s="440"/>
      <c r="M4" s="441"/>
      <c r="N4" s="45">
        <f ca="1">IFERROR(IFNEG(INDIRECT(ADDRESS(MATCH(FirstLine+15,RawEntrie,0)+ROW(RawEntrie)+ROW()-20,2))-INDIRECT(ADDRESS(MATCH(1+15,RawEntrie,0)+ROW(RawEntrie)-17,2)),""),"")</f>
        <v>0.47615999999970882</v>
      </c>
      <c r="O4" s="476">
        <f>Q3-Q4</f>
        <v>-0.11399999999999899</v>
      </c>
      <c r="P4" s="476">
        <f>Q4-O3</f>
        <v>10.126899999999999</v>
      </c>
      <c r="Q4" s="477">
        <v>10.6</v>
      </c>
      <c r="R4" s="322">
        <f t="shared" ca="1" si="9"/>
        <v>1601155.4973809542</v>
      </c>
      <c r="S4" s="37">
        <f t="shared" ca="1" si="10"/>
        <v>4.5360464260599427</v>
      </c>
      <c r="T4" s="38">
        <f t="shared" ref="T4:T35" ca="1" si="19">IF(S4&gt;S$104,"",IF(S4&lt;S$105,"",S4))</f>
        <v>4.5360464260599427</v>
      </c>
      <c r="U4" s="38" t="str">
        <f t="shared" ca="1" si="11"/>
        <v/>
      </c>
      <c r="V4" s="38" t="str">
        <f t="shared" ca="1" si="11"/>
        <v/>
      </c>
      <c r="W4" s="37">
        <f t="shared" ca="1" si="12"/>
        <v>4.5847779551359276</v>
      </c>
      <c r="X4" s="38">
        <f t="shared" ca="1" si="13"/>
        <v>4.5847779551359276</v>
      </c>
      <c r="Y4" s="38">
        <f t="shared" ca="1" si="13"/>
        <v>4.5847779551359276</v>
      </c>
      <c r="Z4" s="47">
        <f t="shared" ca="1" si="13"/>
        <v>4.5847779551359276</v>
      </c>
      <c r="AA4" s="511" t="str">
        <f t="shared" si="14"/>
        <v/>
      </c>
      <c r="AB4" s="503" t="str">
        <f t="shared" si="15"/>
        <v xml:space="preserve"> </v>
      </c>
      <c r="AC4" s="70" t="str">
        <f t="shared" si="16"/>
        <v xml:space="preserve"> </v>
      </c>
      <c r="AD4" s="70" t="str">
        <f t="shared" si="16"/>
        <v xml:space="preserve"> </v>
      </c>
      <c r="AE4" s="70" t="str">
        <f t="shared" si="16"/>
        <v xml:space="preserve"> </v>
      </c>
      <c r="AF4" s="504" t="str">
        <f t="shared" si="16"/>
        <v xml:space="preserve"> </v>
      </c>
      <c r="AG4" s="507" t="str">
        <f t="shared" si="16"/>
        <v xml:space="preserve"> </v>
      </c>
      <c r="AH4" s="503" t="str">
        <f t="shared" si="16"/>
        <v xml:space="preserve"> </v>
      </c>
      <c r="AI4" s="504" t="str">
        <f t="shared" si="16"/>
        <v xml:space="preserve"> </v>
      </c>
      <c r="AJ4" s="45">
        <f t="shared" ca="1" si="17"/>
        <v>0.47615999999970882</v>
      </c>
      <c r="AK4" s="464" t="e">
        <f t="shared" si="18"/>
        <v>#N/A</v>
      </c>
      <c r="AL4" s="279"/>
    </row>
    <row r="5" spans="1:38" s="14" customFormat="1" ht="12" customHeight="1" x14ac:dyDescent="0.15">
      <c r="A5" s="32">
        <f t="shared" ca="1" si="0"/>
        <v>4165.5435835402604</v>
      </c>
      <c r="B5" s="32">
        <f t="shared" ca="1" si="1"/>
        <v>1632934.11035503</v>
      </c>
      <c r="C5" s="32">
        <f t="shared" ca="1" si="2"/>
        <v>-1436.8277447220789</v>
      </c>
      <c r="D5" s="183">
        <f t="shared" ca="1" si="3"/>
        <v>1603.4726767147231</v>
      </c>
      <c r="E5" s="32">
        <f t="shared" ca="1" si="4"/>
        <v>7409256.1398820225</v>
      </c>
      <c r="F5" s="760">
        <f t="shared" ca="1" si="5"/>
        <v>-2314.3763379200072</v>
      </c>
      <c r="G5" s="531">
        <f t="shared" ca="1" si="6"/>
        <v>1598451.2367465987</v>
      </c>
      <c r="H5" s="532">
        <f t="shared" ca="1" si="7"/>
        <v>7340783.5787255848</v>
      </c>
      <c r="I5" s="31">
        <f t="shared" ca="1" si="8"/>
        <v>8</v>
      </c>
      <c r="J5" s="302"/>
      <c r="K5" s="46"/>
      <c r="L5" s="440"/>
      <c r="M5" s="441"/>
      <c r="N5" s="45">
        <f ca="1">IFERROR(IFNEG(INDIRECT(ADDRESS(MATCH(FirstLine+15,RawEntrie,0)+ROW(RawEntrie)+ROW()-20,2))-INDIRECT(ADDRESS(MATCH(1+15,RawEntrie,0)+ROW(RawEntrie)-17,2)),""),"")</f>
        <v>0.54425599999967744</v>
      </c>
      <c r="O5" s="49">
        <v>0</v>
      </c>
      <c r="P5" s="36"/>
      <c r="Q5" s="14">
        <v>1</v>
      </c>
      <c r="R5" s="322">
        <f t="shared" ca="1" si="9"/>
        <v>1600054.7094233134</v>
      </c>
      <c r="S5" s="37">
        <f t="shared" ca="1" si="10"/>
        <v>4.5373883078914394</v>
      </c>
      <c r="T5" s="38">
        <f t="shared" ca="1" si="19"/>
        <v>4.5373883078914394</v>
      </c>
      <c r="U5" s="38" t="str">
        <f t="shared" ca="1" si="11"/>
        <v/>
      </c>
      <c r="V5" s="38" t="str">
        <f t="shared" ca="1" si="11"/>
        <v/>
      </c>
      <c r="W5" s="37">
        <f t="shared" ca="1" si="12"/>
        <v>4.5924351084157058</v>
      </c>
      <c r="X5" s="38">
        <f t="shared" ca="1" si="13"/>
        <v>4.5924351084157058</v>
      </c>
      <c r="Y5" s="38" t="str">
        <f t="shared" ca="1" si="13"/>
        <v/>
      </c>
      <c r="Z5" s="47" t="str">
        <f t="shared" ca="1" si="13"/>
        <v/>
      </c>
      <c r="AA5" s="511" t="str">
        <f t="shared" si="14"/>
        <v/>
      </c>
      <c r="AB5" s="503" t="str">
        <f t="shared" si="15"/>
        <v xml:space="preserve"> </v>
      </c>
      <c r="AC5" s="70" t="str">
        <f t="shared" si="16"/>
        <v xml:space="preserve"> </v>
      </c>
      <c r="AD5" s="70" t="str">
        <f t="shared" si="16"/>
        <v xml:space="preserve"> </v>
      </c>
      <c r="AE5" s="70" t="str">
        <f t="shared" si="16"/>
        <v xml:space="preserve"> </v>
      </c>
      <c r="AF5" s="504" t="str">
        <f t="shared" si="16"/>
        <v xml:space="preserve"> </v>
      </c>
      <c r="AG5" s="507" t="str">
        <f t="shared" si="16"/>
        <v xml:space="preserve"> </v>
      </c>
      <c r="AH5" s="503" t="str">
        <f t="shared" si="16"/>
        <v xml:space="preserve"> </v>
      </c>
      <c r="AI5" s="504" t="str">
        <f t="shared" si="16"/>
        <v xml:space="preserve"> </v>
      </c>
      <c r="AJ5" s="45">
        <f t="shared" ca="1" si="17"/>
        <v>0.54425599999967744</v>
      </c>
      <c r="AK5" s="464" t="e">
        <f t="shared" si="18"/>
        <v>#N/A</v>
      </c>
      <c r="AL5" s="279"/>
    </row>
    <row r="6" spans="1:38" s="14" customFormat="1" ht="12" customHeight="1" x14ac:dyDescent="0.2">
      <c r="A6" s="32">
        <f t="shared" ca="1" si="0"/>
        <v>3679.2653468199132</v>
      </c>
      <c r="B6" s="32">
        <f t="shared" ca="1" si="1"/>
        <v>1660959.0653803055</v>
      </c>
      <c r="C6" s="32">
        <f t="shared" ca="1" si="2"/>
        <v>-735.33496240778186</v>
      </c>
      <c r="D6" s="183">
        <f t="shared" ca="1" si="3"/>
        <v>1660.3847059603884</v>
      </c>
      <c r="E6" s="32">
        <f t="shared" ca="1" si="4"/>
        <v>7559988.6533879759</v>
      </c>
      <c r="F6" s="760">
        <f t="shared" ca="1" si="5"/>
        <v>1995.2219507141808</v>
      </c>
      <c r="G6" s="531">
        <f t="shared" ca="1" si="6"/>
        <v>1626419.2797426286</v>
      </c>
      <c r="H6" s="532">
        <f t="shared" ca="1" si="7"/>
        <v>7487206.4939429034</v>
      </c>
      <c r="I6" s="31">
        <f t="shared" ca="1" si="8"/>
        <v>9</v>
      </c>
      <c r="J6" s="302"/>
      <c r="K6" s="46"/>
      <c r="L6" s="440"/>
      <c r="M6" s="441"/>
      <c r="N6" s="45">
        <f ca="1">IFERROR(IFNEG(INDIRECT(ADDRESS(MATCH(FirstLine+15,RawEntrie,0)+ROW(RawEntrie)+ROW()-20,2))-INDIRECT(ADDRESS(MATCH(1+15,RawEntrie,0)+ROW(RawEntrie)-17,2)),""),"")</f>
        <v>0.61235199999964607</v>
      </c>
      <c r="O6" s="50"/>
      <c r="P6" s="528" t="s">
        <v>219</v>
      </c>
      <c r="Q6" s="51"/>
      <c r="R6" s="322">
        <f t="shared" ca="1" si="9"/>
        <v>1628079.6644485889</v>
      </c>
      <c r="S6" s="37">
        <f t="shared" ca="1" si="10"/>
        <v>4.5515803555682357</v>
      </c>
      <c r="T6" s="38" t="str">
        <f t="shared" ca="1" si="19"/>
        <v/>
      </c>
      <c r="U6" s="38" t="str">
        <f t="shared" ca="1" si="11"/>
        <v/>
      </c>
      <c r="V6" s="38" t="str">
        <f t="shared" ca="1" si="11"/>
        <v/>
      </c>
      <c r="W6" s="37">
        <f t="shared" ca="1" si="12"/>
        <v>4.6034909861174977</v>
      </c>
      <c r="X6" s="38" t="str">
        <f t="shared" ca="1" si="13"/>
        <v/>
      </c>
      <c r="Y6" s="38" t="str">
        <f t="shared" ca="1" si="13"/>
        <v/>
      </c>
      <c r="Z6" s="47" t="str">
        <f t="shared" ca="1" si="13"/>
        <v/>
      </c>
      <c r="AA6" s="511" t="str">
        <f t="shared" si="14"/>
        <v/>
      </c>
      <c r="AB6" s="503" t="str">
        <f t="shared" si="15"/>
        <v xml:space="preserve"> </v>
      </c>
      <c r="AC6" s="70" t="str">
        <f t="shared" si="16"/>
        <v xml:space="preserve"> </v>
      </c>
      <c r="AD6" s="70" t="str">
        <f t="shared" si="16"/>
        <v xml:space="preserve"> </v>
      </c>
      <c r="AE6" s="70" t="str">
        <f t="shared" si="16"/>
        <v xml:space="preserve"> </v>
      </c>
      <c r="AF6" s="504" t="str">
        <f t="shared" si="16"/>
        <v xml:space="preserve"> </v>
      </c>
      <c r="AG6" s="507" t="str">
        <f t="shared" si="16"/>
        <v xml:space="preserve"> </v>
      </c>
      <c r="AH6" s="503" t="str">
        <f t="shared" si="16"/>
        <v xml:space="preserve"> </v>
      </c>
      <c r="AI6" s="504" t="str">
        <f t="shared" si="16"/>
        <v xml:space="preserve"> </v>
      </c>
      <c r="AJ6" s="45">
        <f t="shared" ca="1" si="17"/>
        <v>0.61235199999964607</v>
      </c>
      <c r="AK6" s="464" t="e">
        <f t="shared" si="18"/>
        <v>#N/A</v>
      </c>
      <c r="AL6" s="279"/>
    </row>
    <row r="7" spans="1:38" s="14" customFormat="1" ht="12" customHeight="1" x14ac:dyDescent="0.15">
      <c r="A7" s="32">
        <f t="shared" ca="1" si="0"/>
        <v>1012.0384972685242</v>
      </c>
      <c r="B7" s="32">
        <f t="shared" ca="1" si="1"/>
        <v>1687627.1548189372</v>
      </c>
      <c r="C7" s="32">
        <f t="shared" ca="1" si="2"/>
        <v>466.2901778755986</v>
      </c>
      <c r="D7" s="183">
        <f t="shared" ca="1" si="3"/>
        <v>762.45741639446635</v>
      </c>
      <c r="E7" s="32">
        <f t="shared" ca="1" si="4"/>
        <v>7674786.4132622592</v>
      </c>
      <c r="F7" s="760">
        <f t="shared" ca="1" si="5"/>
        <v>2421.5408866641101</v>
      </c>
      <c r="G7" s="531">
        <f t="shared" ca="1" si="6"/>
        <v>1653985.296470826</v>
      </c>
      <c r="H7" s="532">
        <f t="shared" ca="1" si="7"/>
        <v>7601577.9348812373</v>
      </c>
      <c r="I7" s="31">
        <f t="shared" ca="1" si="8"/>
        <v>10</v>
      </c>
      <c r="J7" s="302"/>
      <c r="K7" s="46"/>
      <c r="L7" s="440"/>
      <c r="M7" s="441"/>
      <c r="N7" s="45">
        <f ca="1">IFERROR(IFNEG(INDIRECT(ADDRESS(MATCH(FirstLine+15,RawEntrie,0)+ROW(RawEntrie)+ROW()-20,2))-INDIRECT(ADDRESS(MATCH(1+15,RawEntrie,0)+ROW(RawEntrie)-17,2)),""),"")</f>
        <v>0.68044799999961469</v>
      </c>
      <c r="O7" s="186">
        <v>1</v>
      </c>
      <c r="P7" s="187"/>
      <c r="Q7" s="188"/>
      <c r="R7" s="322">
        <f t="shared" ca="1" si="9"/>
        <v>1654747.7538872205</v>
      </c>
      <c r="S7" s="37">
        <f t="shared" ca="1" si="10"/>
        <v>4.5476789060588887</v>
      </c>
      <c r="T7" s="38" t="str">
        <f t="shared" ca="1" si="19"/>
        <v/>
      </c>
      <c r="U7" s="38" t="str">
        <f t="shared" ca="1" si="11"/>
        <v/>
      </c>
      <c r="V7" s="38" t="str">
        <f t="shared" ca="1" si="11"/>
        <v/>
      </c>
      <c r="W7" s="37">
        <f t="shared" ca="1" si="12"/>
        <v>4.5959162702963718</v>
      </c>
      <c r="X7" s="38" t="str">
        <f t="shared" ca="1" si="13"/>
        <v/>
      </c>
      <c r="Y7" s="38" t="str">
        <f t="shared" ca="1" si="13"/>
        <v/>
      </c>
      <c r="Z7" s="47" t="str">
        <f t="shared" ca="1" si="13"/>
        <v/>
      </c>
      <c r="AA7" s="511" t="str">
        <f t="shared" si="14"/>
        <v/>
      </c>
      <c r="AB7" s="503" t="str">
        <f t="shared" si="15"/>
        <v xml:space="preserve"> </v>
      </c>
      <c r="AC7" s="70" t="str">
        <f t="shared" si="16"/>
        <v xml:space="preserve"> </v>
      </c>
      <c r="AD7" s="70" t="str">
        <f t="shared" si="16"/>
        <v xml:space="preserve"> </v>
      </c>
      <c r="AE7" s="70" t="str">
        <f t="shared" si="16"/>
        <v xml:space="preserve"> </v>
      </c>
      <c r="AF7" s="504" t="str">
        <f t="shared" si="16"/>
        <v xml:space="preserve"> </v>
      </c>
      <c r="AG7" s="507" t="str">
        <f t="shared" si="16"/>
        <v xml:space="preserve"> </v>
      </c>
      <c r="AH7" s="503" t="str">
        <f t="shared" si="16"/>
        <v xml:space="preserve"> </v>
      </c>
      <c r="AI7" s="504" t="str">
        <f t="shared" si="16"/>
        <v xml:space="preserve"> </v>
      </c>
      <c r="AJ7" s="45">
        <f t="shared" ca="1" si="17"/>
        <v>0.68044799999961469</v>
      </c>
      <c r="AK7" s="464" t="e">
        <f t="shared" si="18"/>
        <v>#N/A</v>
      </c>
      <c r="AL7" s="279"/>
    </row>
    <row r="8" spans="1:38" s="14" customFormat="1" ht="12" customHeight="1" x14ac:dyDescent="0.15">
      <c r="A8" s="32">
        <f t="shared" ca="1" si="0"/>
        <v>1758.191699383864</v>
      </c>
      <c r="B8" s="32">
        <f t="shared" ca="1" si="1"/>
        <v>1619806.5600069351</v>
      </c>
      <c r="C8" s="32">
        <f t="shared" ca="1" si="2"/>
        <v>2546.1517424047925</v>
      </c>
      <c r="D8" s="183">
        <f t="shared" ca="1" si="3"/>
        <v>2118.5408058025355</v>
      </c>
      <c r="E8" s="32">
        <f t="shared" ca="1" si="4"/>
        <v>7337587.5009848112</v>
      </c>
      <c r="F8" s="760">
        <f t="shared" ca="1" si="5"/>
        <v>2720.7697946084036</v>
      </c>
      <c r="G8" s="531">
        <f t="shared" ca="1" si="6"/>
        <v>1584808.618269416</v>
      </c>
      <c r="H8" s="532">
        <f t="shared" ca="1" si="7"/>
        <v>7264079.7936958447</v>
      </c>
      <c r="I8" s="31">
        <f t="shared" ca="1" si="8"/>
        <v>11</v>
      </c>
      <c r="J8" s="302">
        <f t="shared" ref="J8:J42" ca="1" si="20">IFERROR((_11Bback)/(_10Bcorr),"")</f>
        <v>4.5774500437241148</v>
      </c>
      <c r="K8" s="46">
        <f t="shared" ref="K8:K35" ca="1" si="21">IFERROR((_11Bback)/(_10Bback),"")</f>
        <v>4.5835690883786935</v>
      </c>
      <c r="L8" s="440"/>
      <c r="M8" s="441"/>
      <c r="N8" s="45">
        <f ca="1">IFERROR(IFNEG(INDIRECT(ADDRESS(MATCH(FirstLine+15,RawEntrie,0)+ROW(RawEntrie)+ROW()-20,2))-INDIRECT(ADDRESS(MATCH(1+15,RawEntrie,0)+ROW(RawEntrie)-17,2)),""),"")</f>
        <v>0.74854399999958332</v>
      </c>
      <c r="O8" s="186"/>
      <c r="P8" s="529" t="s">
        <v>453</v>
      </c>
      <c r="Q8" s="530" t="s">
        <v>437</v>
      </c>
      <c r="R8" s="322">
        <f t="shared" ca="1" si="9"/>
        <v>1586927.1590752185</v>
      </c>
      <c r="S8" s="37">
        <f t="shared" ca="1" si="10"/>
        <v>4.5299159061026373</v>
      </c>
      <c r="T8" s="38">
        <f t="shared" ca="1" si="19"/>
        <v>4.5299159061026373</v>
      </c>
      <c r="U8" s="38">
        <f t="shared" ca="1" si="11"/>
        <v>4.5299159061026373</v>
      </c>
      <c r="V8" s="38">
        <f t="shared" ca="1" si="11"/>
        <v>4.5299159061026373</v>
      </c>
      <c r="W8" s="37">
        <f t="shared" ca="1" si="12"/>
        <v>4.5835690883786935</v>
      </c>
      <c r="X8" s="38">
        <f t="shared" ca="1" si="13"/>
        <v>4.5835690883786935</v>
      </c>
      <c r="Y8" s="38">
        <f t="shared" ca="1" si="13"/>
        <v>4.5835690883786935</v>
      </c>
      <c r="Z8" s="47">
        <f t="shared" ca="1" si="13"/>
        <v>4.5835690883786935</v>
      </c>
      <c r="AA8" s="511">
        <f t="shared" ca="1" si="14"/>
        <v>1</v>
      </c>
      <c r="AB8" s="503">
        <f t="shared" ca="1" si="15"/>
        <v>1758.191699383864</v>
      </c>
      <c r="AC8" s="70">
        <f t="shared" ca="1" si="16"/>
        <v>1619806.5600069351</v>
      </c>
      <c r="AD8" s="70">
        <f t="shared" ca="1" si="16"/>
        <v>2546.1517424047925</v>
      </c>
      <c r="AE8" s="70">
        <f t="shared" ca="1" si="16"/>
        <v>2118.5408058025355</v>
      </c>
      <c r="AF8" s="504">
        <f t="shared" ca="1" si="16"/>
        <v>7337587.5009848112</v>
      </c>
      <c r="AG8" s="507">
        <f t="shared" ca="1" si="16"/>
        <v>2720.7697946084036</v>
      </c>
      <c r="AH8" s="503">
        <f t="shared" ca="1" si="16"/>
        <v>1584808.618269416</v>
      </c>
      <c r="AI8" s="504">
        <f t="shared" ca="1" si="16"/>
        <v>7264079.7936958447</v>
      </c>
      <c r="AJ8" s="45">
        <f t="shared" ca="1" si="17"/>
        <v>0.74854399999958332</v>
      </c>
      <c r="AK8" s="464">
        <f t="shared" ca="1" si="18"/>
        <v>4.5835690883786935</v>
      </c>
      <c r="AL8" s="279"/>
    </row>
    <row r="9" spans="1:38" s="14" customFormat="1" ht="12" customHeight="1" x14ac:dyDescent="0.15">
      <c r="A9" s="32">
        <f t="shared" ca="1" si="0"/>
        <v>2421.2358478869937</v>
      </c>
      <c r="B9" s="32">
        <f t="shared" ca="1" si="1"/>
        <v>1612181.7634507292</v>
      </c>
      <c r="C9" s="32">
        <f t="shared" ca="1" si="2"/>
        <v>-2406.3164987865966</v>
      </c>
      <c r="D9" s="183">
        <f t="shared" ca="1" si="3"/>
        <v>213.50439028187202</v>
      </c>
      <c r="E9" s="32">
        <f t="shared" ca="1" si="4"/>
        <v>7286415.2136647664</v>
      </c>
      <c r="F9" s="760">
        <f t="shared" ca="1" si="5"/>
        <v>2112.3466586989634</v>
      </c>
      <c r="G9" s="531">
        <f t="shared" ca="1" si="6"/>
        <v>1579088.8581287307</v>
      </c>
      <c r="H9" s="532">
        <f t="shared" ca="1" si="7"/>
        <v>7213515.9295117091</v>
      </c>
      <c r="I9" s="31">
        <f t="shared" ca="1" si="8"/>
        <v>12</v>
      </c>
      <c r="J9" s="302">
        <f t="shared" ca="1" si="20"/>
        <v>4.5675331720558159</v>
      </c>
      <c r="K9" s="46">
        <f t="shared" ca="1" si="21"/>
        <v>4.5681507360263121</v>
      </c>
      <c r="L9" s="440"/>
      <c r="M9" s="441"/>
      <c r="N9" s="45">
        <f ca="1">IFERROR(IFNEG(INDIRECT(ADDRESS(MATCH(FirstLine+15,RawEntrie,0)+ROW(RawEntrie)+ROW()-20,2))-INDIRECT(ADDRESS(MATCH(1+15,RawEntrie,0)+ROW(RawEntrie)-17,2)),""),"")</f>
        <v>0.8168959999998151</v>
      </c>
      <c r="O9" s="548" t="s">
        <v>499</v>
      </c>
      <c r="P9" s="753">
        <f ca="1">IFERROR(L309,0)</f>
        <v>19333.298165516553</v>
      </c>
      <c r="Q9" s="527">
        <f ca="1">IFERROR(L311,0)</f>
        <v>0.11717234045260098</v>
      </c>
      <c r="R9" s="322">
        <f t="shared" ca="1" si="9"/>
        <v>1579302.3625190125</v>
      </c>
      <c r="S9" s="37">
        <f t="shared" ca="1" si="10"/>
        <v>4.5195990792433065</v>
      </c>
      <c r="T9" s="38">
        <f t="shared" ca="1" si="19"/>
        <v>4.5195990792433065</v>
      </c>
      <c r="U9" s="38">
        <f t="shared" ca="1" si="11"/>
        <v>4.5195990792433065</v>
      </c>
      <c r="V9" s="38">
        <f t="shared" ca="1" si="11"/>
        <v>4.5195990792433065</v>
      </c>
      <c r="W9" s="37">
        <f t="shared" ca="1" si="12"/>
        <v>4.5681507360263121</v>
      </c>
      <c r="X9" s="38">
        <f t="shared" ca="1" si="13"/>
        <v>4.5681507360263121</v>
      </c>
      <c r="Y9" s="38">
        <f t="shared" ca="1" si="13"/>
        <v>4.5681507360263121</v>
      </c>
      <c r="Z9" s="47">
        <f t="shared" ca="1" si="13"/>
        <v>4.5681507360263121</v>
      </c>
      <c r="AA9" s="511">
        <f t="shared" ca="1" si="14"/>
        <v>1</v>
      </c>
      <c r="AB9" s="503">
        <f t="shared" ca="1" si="15"/>
        <v>2421.2358478869937</v>
      </c>
      <c r="AC9" s="70">
        <f t="shared" ca="1" si="16"/>
        <v>1612181.7634507292</v>
      </c>
      <c r="AD9" s="70">
        <f t="shared" ca="1" si="16"/>
        <v>-2406.3164987865966</v>
      </c>
      <c r="AE9" s="70">
        <f t="shared" ca="1" si="16"/>
        <v>213.50439028187202</v>
      </c>
      <c r="AF9" s="504">
        <f t="shared" ca="1" si="16"/>
        <v>7286415.2136647664</v>
      </c>
      <c r="AG9" s="507">
        <f t="shared" ca="1" si="16"/>
        <v>2112.3466586989634</v>
      </c>
      <c r="AH9" s="503">
        <f t="shared" ca="1" si="16"/>
        <v>1579088.8581287307</v>
      </c>
      <c r="AI9" s="504">
        <f t="shared" ca="1" si="16"/>
        <v>7213515.9295117091</v>
      </c>
      <c r="AJ9" s="45">
        <f t="shared" ca="1" si="17"/>
        <v>0.8168959999998151</v>
      </c>
      <c r="AK9" s="464">
        <f t="shared" ca="1" si="18"/>
        <v>4.5681507360263121</v>
      </c>
      <c r="AL9" s="279"/>
    </row>
    <row r="10" spans="1:38" s="14" customFormat="1" ht="12" customHeight="1" x14ac:dyDescent="0.15">
      <c r="A10" s="32">
        <f t="shared" ca="1" si="0"/>
        <v>1353.0798021733535</v>
      </c>
      <c r="B10" s="32">
        <f t="shared" ca="1" si="1"/>
        <v>1661890.2387603859</v>
      </c>
      <c r="C10" s="32">
        <f t="shared" ca="1" si="2"/>
        <v>732.2230612518797</v>
      </c>
      <c r="D10" s="183">
        <f t="shared" ca="1" si="3"/>
        <v>1069.150212358963</v>
      </c>
      <c r="E10" s="32">
        <f t="shared" ca="1" si="4"/>
        <v>7520771.6635120371</v>
      </c>
      <c r="F10" s="760">
        <f t="shared" ca="1" si="5"/>
        <v>499.22223829088489</v>
      </c>
      <c r="G10" s="531">
        <f t="shared" ca="1" si="6"/>
        <v>1627941.6876163103</v>
      </c>
      <c r="H10" s="532">
        <f t="shared" ca="1" si="7"/>
        <v>7449485.503779388</v>
      </c>
      <c r="I10" s="31">
        <f t="shared" ca="1" si="8"/>
        <v>13</v>
      </c>
      <c r="J10" s="302">
        <f t="shared" ca="1" si="20"/>
        <v>4.5730116281539965</v>
      </c>
      <c r="K10" s="46">
        <f t="shared" ca="1" si="21"/>
        <v>4.5760149521615778</v>
      </c>
      <c r="L10" s="440"/>
      <c r="M10" s="441"/>
      <c r="N10" s="45">
        <f ca="1">IFERROR(IFNEG(INDIRECT(ADDRESS(MATCH(FirstLine+15,RawEntrie,0)+ROW(RawEntrie)+ROW()-20,2))-INDIRECT(ADDRESS(MATCH(1+15,RawEntrie,0)+ROW(RawEntrie)-17,2)),""),"")</f>
        <v>0.88499199999932898</v>
      </c>
      <c r="O10" s="548" t="s">
        <v>487</v>
      </c>
      <c r="P10" s="753">
        <f ca="1">IFERROR(M309,0)*O7</f>
        <v>32879.400931716758</v>
      </c>
      <c r="Q10" s="527">
        <f ca="1">IFERROR(M311,0)</f>
        <v>0.12126425056238195</v>
      </c>
      <c r="R10" s="322">
        <f t="shared" ca="1" si="9"/>
        <v>1629010.8378286692</v>
      </c>
      <c r="S10" s="37">
        <f t="shared" ca="1" si="10"/>
        <v>4.5254322386067001</v>
      </c>
      <c r="T10" s="38">
        <f t="shared" ca="1" si="19"/>
        <v>4.5254322386067001</v>
      </c>
      <c r="U10" s="38">
        <f t="shared" ca="1" si="11"/>
        <v>4.5254322386067001</v>
      </c>
      <c r="V10" s="38">
        <f t="shared" ca="1" si="11"/>
        <v>4.5254322386067001</v>
      </c>
      <c r="W10" s="37">
        <f t="shared" ca="1" si="12"/>
        <v>4.5760149521615778</v>
      </c>
      <c r="X10" s="38">
        <f t="shared" ca="1" si="13"/>
        <v>4.5760149521615778</v>
      </c>
      <c r="Y10" s="38">
        <f t="shared" ca="1" si="13"/>
        <v>4.5760149521615778</v>
      </c>
      <c r="Z10" s="47">
        <f t="shared" ca="1" si="13"/>
        <v>4.5760149521615778</v>
      </c>
      <c r="AA10" s="511">
        <f t="shared" ca="1" si="14"/>
        <v>1</v>
      </c>
      <c r="AB10" s="503">
        <f t="shared" ca="1" si="15"/>
        <v>1353.0798021733535</v>
      </c>
      <c r="AC10" s="70">
        <f t="shared" ca="1" si="16"/>
        <v>1661890.2387603859</v>
      </c>
      <c r="AD10" s="70">
        <f t="shared" ca="1" si="16"/>
        <v>732.2230612518797</v>
      </c>
      <c r="AE10" s="70">
        <f t="shared" ca="1" si="16"/>
        <v>1069.150212358963</v>
      </c>
      <c r="AF10" s="504">
        <f t="shared" ca="1" si="16"/>
        <v>7520771.6635120371</v>
      </c>
      <c r="AG10" s="507">
        <f t="shared" ca="1" si="16"/>
        <v>499.22223829088489</v>
      </c>
      <c r="AH10" s="503">
        <f t="shared" ca="1" si="16"/>
        <v>1627941.6876163103</v>
      </c>
      <c r="AI10" s="504">
        <f t="shared" ca="1" si="16"/>
        <v>7449485.503779388</v>
      </c>
      <c r="AJ10" s="45">
        <f t="shared" ca="1" si="17"/>
        <v>0.88499199999932898</v>
      </c>
      <c r="AK10" s="464">
        <f t="shared" ca="1" si="18"/>
        <v>4.5760149521615778</v>
      </c>
      <c r="AL10" s="279"/>
    </row>
    <row r="11" spans="1:38" s="14" customFormat="1" ht="12" customHeight="1" x14ac:dyDescent="0.15">
      <c r="A11" s="32">
        <f t="shared" ca="1" si="0"/>
        <v>739.81873315724806</v>
      </c>
      <c r="B11" s="32">
        <f t="shared" ca="1" si="1"/>
        <v>1665999.9146772134</v>
      </c>
      <c r="C11" s="32">
        <f t="shared" ca="1" si="2"/>
        <v>-163.29852101823781</v>
      </c>
      <c r="D11" s="183">
        <f t="shared" ca="1" si="3"/>
        <v>326.80604499384987</v>
      </c>
      <c r="E11" s="32">
        <f t="shared" ca="1" si="4"/>
        <v>7541542.9409901984</v>
      </c>
      <c r="F11" s="760">
        <f t="shared" ca="1" si="5"/>
        <v>43.107137291334766</v>
      </c>
      <c r="G11" s="531">
        <f t="shared" ca="1" si="6"/>
        <v>1632793.7077005028</v>
      </c>
      <c r="H11" s="532">
        <f t="shared" ca="1" si="7"/>
        <v>7470712.8963585487</v>
      </c>
      <c r="I11" s="31">
        <f t="shared" ca="1" si="8"/>
        <v>14</v>
      </c>
      <c r="J11" s="302">
        <f t="shared" ca="1" si="20"/>
        <v>4.5745019020211597</v>
      </c>
      <c r="K11" s="46">
        <f t="shared" ca="1" si="21"/>
        <v>4.5754174952570761</v>
      </c>
      <c r="L11" s="440"/>
      <c r="M11" s="441"/>
      <c r="N11" s="45">
        <f ca="1">IFERROR(IFNEG(INDIRECT(ADDRESS(MATCH(FirstLine+15,RawEntrie,0)+ROW(RawEntrie)+ROW()-20,2))-INDIRECT(ADDRESS(MATCH(1+15,RawEntrie,0)+ROW(RawEntrie)-17,2)),""),"")</f>
        <v>0.95283199999994395</v>
      </c>
      <c r="O11" s="548" t="s">
        <v>497</v>
      </c>
      <c r="P11" s="753">
        <f ca="1">IFERROR(N309,0)</f>
        <v>18208.07234542392</v>
      </c>
      <c r="Q11" s="527">
        <f ca="1">IFERROR(N311,0)</f>
        <v>0.10006573095216191</v>
      </c>
      <c r="R11" s="322">
        <f t="shared" ca="1" si="9"/>
        <v>1633120.5137454967</v>
      </c>
      <c r="S11" s="37">
        <f t="shared" ca="1" si="10"/>
        <v>4.5267366910107967</v>
      </c>
      <c r="T11" s="38">
        <f t="shared" ca="1" si="19"/>
        <v>4.5267366910107967</v>
      </c>
      <c r="U11" s="38">
        <f t="shared" ca="1" si="11"/>
        <v>4.5267366910107967</v>
      </c>
      <c r="V11" s="38">
        <f t="shared" ca="1" si="11"/>
        <v>4.5267366910107967</v>
      </c>
      <c r="W11" s="37">
        <f t="shared" ca="1" si="12"/>
        <v>4.5754174952570761</v>
      </c>
      <c r="X11" s="38">
        <f t="shared" ca="1" si="13"/>
        <v>4.5754174952570761</v>
      </c>
      <c r="Y11" s="38">
        <f t="shared" ca="1" si="13"/>
        <v>4.5754174952570761</v>
      </c>
      <c r="Z11" s="47">
        <f t="shared" ca="1" si="13"/>
        <v>4.5754174952570761</v>
      </c>
      <c r="AA11" s="511">
        <f t="shared" ca="1" si="14"/>
        <v>1</v>
      </c>
      <c r="AB11" s="503">
        <f t="shared" ca="1" si="15"/>
        <v>739.81873315724806</v>
      </c>
      <c r="AC11" s="70">
        <f t="shared" ca="1" si="16"/>
        <v>1665999.9146772134</v>
      </c>
      <c r="AD11" s="70">
        <f t="shared" ca="1" si="16"/>
        <v>-163.29852101823781</v>
      </c>
      <c r="AE11" s="70">
        <f t="shared" ca="1" si="16"/>
        <v>326.80604499384987</v>
      </c>
      <c r="AF11" s="504">
        <f t="shared" ca="1" si="16"/>
        <v>7541542.9409901984</v>
      </c>
      <c r="AG11" s="507">
        <f t="shared" ca="1" si="16"/>
        <v>43.107137291334766</v>
      </c>
      <c r="AH11" s="503">
        <f t="shared" ca="1" si="16"/>
        <v>1632793.7077005028</v>
      </c>
      <c r="AI11" s="504">
        <f t="shared" ca="1" si="16"/>
        <v>7470712.8963585487</v>
      </c>
      <c r="AJ11" s="45">
        <f t="shared" ca="1" si="17"/>
        <v>0.95283199999994395</v>
      </c>
      <c r="AK11" s="464">
        <f t="shared" ca="1" si="18"/>
        <v>4.5754174952570761</v>
      </c>
      <c r="AL11" s="279"/>
    </row>
    <row r="12" spans="1:38" s="14" customFormat="1" ht="12" customHeight="1" x14ac:dyDescent="0.15">
      <c r="A12" s="32">
        <f t="shared" ca="1" si="0"/>
        <v>-1771.135593523948</v>
      </c>
      <c r="B12" s="32">
        <f t="shared" ca="1" si="1"/>
        <v>1621537.5074641767</v>
      </c>
      <c r="C12" s="32">
        <f t="shared" ca="1" si="2"/>
        <v>-566.76183047817176</v>
      </c>
      <c r="D12" s="183">
        <f t="shared" ca="1" si="3"/>
        <v>-1220.3525771113871</v>
      </c>
      <c r="E12" s="32">
        <f t="shared" ca="1" si="4"/>
        <v>7344254.106869285</v>
      </c>
      <c r="F12" s="760">
        <f t="shared" ca="1" si="5"/>
        <v>-756.78316155496304</v>
      </c>
      <c r="G12" s="531">
        <f t="shared" ca="1" si="6"/>
        <v>1589878.4591095715</v>
      </c>
      <c r="H12" s="532">
        <f t="shared" ca="1" si="7"/>
        <v>7274223.9525364824</v>
      </c>
      <c r="I12" s="31">
        <f t="shared" ca="1" si="8"/>
        <v>15</v>
      </c>
      <c r="J12" s="302">
        <f t="shared" ca="1" si="20"/>
        <v>4.5788479740388075</v>
      </c>
      <c r="K12" s="46">
        <f t="shared" ca="1" si="21"/>
        <v>4.5753333601428183</v>
      </c>
      <c r="L12" s="440"/>
      <c r="M12" s="441"/>
      <c r="N12" s="45">
        <f ca="1">IFERROR(IFNEG(INDIRECT(ADDRESS(MATCH(FirstLine+15,RawEntrie,0)+ROW(RawEntrie)+ROW()-20,2))-INDIRECT(ADDRESS(MATCH(1+15,RawEntrie,0)+ROW(RawEntrie)-17,2)),""),"")</f>
        <v>1.0209279999999126</v>
      </c>
      <c r="O12" s="548" t="s">
        <v>498</v>
      </c>
      <c r="P12" s="753">
        <f ca="1">O309</f>
        <v>18208.07234542392</v>
      </c>
      <c r="Q12" s="527">
        <f ca="1">IFERROR(O311,0)</f>
        <v>0.10006573095216191</v>
      </c>
      <c r="R12" s="322">
        <f t="shared" ca="1" si="9"/>
        <v>1588658.1065324601</v>
      </c>
      <c r="S12" s="37">
        <f t="shared" ref="S12:S25" ca="1" si="22">IFERROR(IF(E12&gt;LimitSignB11b,E12/B12,""),"")</f>
        <v>4.5291916302044193</v>
      </c>
      <c r="T12" s="38">
        <f t="shared" ca="1" si="19"/>
        <v>4.5291916302044193</v>
      </c>
      <c r="U12" s="38">
        <f t="shared" ca="1" si="11"/>
        <v>4.5291916302044193</v>
      </c>
      <c r="V12" s="38">
        <f t="shared" ca="1" si="11"/>
        <v>4.5291916302044193</v>
      </c>
      <c r="W12" s="37">
        <f t="shared" ca="1" si="12"/>
        <v>4.5753333601428183</v>
      </c>
      <c r="X12" s="38">
        <f t="shared" ca="1" si="13"/>
        <v>4.5753333601428183</v>
      </c>
      <c r="Y12" s="38">
        <f t="shared" ca="1" si="13"/>
        <v>4.5753333601428183</v>
      </c>
      <c r="Z12" s="47">
        <f t="shared" ca="1" si="13"/>
        <v>4.5753333601428183</v>
      </c>
      <c r="AA12" s="511">
        <f t="shared" ca="1" si="14"/>
        <v>1</v>
      </c>
      <c r="AB12" s="503">
        <f t="shared" ca="1" si="15"/>
        <v>-1771.135593523948</v>
      </c>
      <c r="AC12" s="70">
        <f t="shared" ca="1" si="16"/>
        <v>1621537.5074641767</v>
      </c>
      <c r="AD12" s="70">
        <f t="shared" ca="1" si="16"/>
        <v>-566.76183047817176</v>
      </c>
      <c r="AE12" s="70">
        <f t="shared" ca="1" si="16"/>
        <v>-1220.3525771113871</v>
      </c>
      <c r="AF12" s="504">
        <f t="shared" ca="1" si="16"/>
        <v>7344254.106869285</v>
      </c>
      <c r="AG12" s="507">
        <f t="shared" ca="1" si="16"/>
        <v>-756.78316155496304</v>
      </c>
      <c r="AH12" s="503">
        <f t="shared" ca="1" si="16"/>
        <v>1589878.4591095715</v>
      </c>
      <c r="AI12" s="504">
        <f t="shared" ca="1" si="16"/>
        <v>7274223.9525364824</v>
      </c>
      <c r="AJ12" s="45">
        <f t="shared" ca="1" si="17"/>
        <v>1.0209279999999126</v>
      </c>
      <c r="AK12" s="464">
        <f t="shared" ca="1" si="18"/>
        <v>4.5753333601428183</v>
      </c>
      <c r="AL12" s="279"/>
    </row>
    <row r="13" spans="1:38" s="14" customFormat="1" ht="12" customHeight="1" x14ac:dyDescent="0.15">
      <c r="A13" s="32">
        <f t="shared" ca="1" si="0"/>
        <v>35.817267938120494</v>
      </c>
      <c r="B13" s="32">
        <f t="shared" ca="1" si="1"/>
        <v>1612967.079376305</v>
      </c>
      <c r="C13" s="32">
        <f t="shared" ca="1" si="2"/>
        <v>-74.489962323590589</v>
      </c>
      <c r="D13" s="183">
        <f t="shared" ca="1" si="3"/>
        <v>-14.62832534848031</v>
      </c>
      <c r="E13" s="32">
        <f t="shared" ca="1" si="4"/>
        <v>7309473.0172309242</v>
      </c>
      <c r="F13" s="760">
        <f t="shared" ca="1" si="5"/>
        <v>-1406.8612079557711</v>
      </c>
      <c r="G13" s="531">
        <f t="shared" ca="1" si="6"/>
        <v>1580102.3067699368</v>
      </c>
      <c r="H13" s="532">
        <f t="shared" ca="1" si="7"/>
        <v>7240092.9409445217</v>
      </c>
      <c r="I13" s="31">
        <f t="shared" ca="1" si="8"/>
        <v>16</v>
      </c>
      <c r="J13" s="302">
        <f t="shared" ca="1" si="20"/>
        <v>4.5820830322982751</v>
      </c>
      <c r="K13" s="46">
        <f t="shared" ca="1" si="21"/>
        <v>4.5820406121327695</v>
      </c>
      <c r="L13" s="440"/>
      <c r="M13" s="441"/>
      <c r="N13" s="45">
        <f ca="1">IFERROR(IFNEG(INDIRECT(ADDRESS(MATCH(FirstLine+15,RawEntrie,0)+ROW(RawEntrie)+ROW()-20,2))-INDIRECT(ADDRESS(MATCH(1+15,RawEntrie,0)+ROW(RawEntrie)-17,2)),""),"")</f>
        <v>1.0892799999996896</v>
      </c>
      <c r="O13" s="548" t="s">
        <v>449</v>
      </c>
      <c r="P13" s="753">
        <f ca="1">(IFERROR(P309,0))*O7</f>
        <v>70786.937494358222</v>
      </c>
      <c r="Q13" s="527">
        <f ca="1">IFERROR(P311,0)</f>
        <v>0.2231179259989092</v>
      </c>
      <c r="R13" s="322">
        <f t="shared" ca="1" si="9"/>
        <v>1580087.6784445883</v>
      </c>
      <c r="S13" s="37">
        <f t="shared" ca="1" si="22"/>
        <v>4.5316938644881199</v>
      </c>
      <c r="T13" s="38">
        <f t="shared" ca="1" si="19"/>
        <v>4.5316938644881199</v>
      </c>
      <c r="U13" s="38">
        <f t="shared" ca="1" si="11"/>
        <v>4.5316938644881199</v>
      </c>
      <c r="V13" s="38">
        <f t="shared" ca="1" si="11"/>
        <v>4.5316938644881199</v>
      </c>
      <c r="W13" s="37">
        <f t="shared" ca="1" si="12"/>
        <v>4.5820406121327695</v>
      </c>
      <c r="X13" s="38">
        <f t="shared" ca="1" si="13"/>
        <v>4.5820406121327695</v>
      </c>
      <c r="Y13" s="38">
        <f t="shared" ca="1" si="13"/>
        <v>4.5820406121327695</v>
      </c>
      <c r="Z13" s="47">
        <f t="shared" ca="1" si="13"/>
        <v>4.5820406121327695</v>
      </c>
      <c r="AA13" s="511">
        <f t="shared" ca="1" si="14"/>
        <v>1</v>
      </c>
      <c r="AB13" s="503">
        <f t="shared" ca="1" si="15"/>
        <v>35.817267938120494</v>
      </c>
      <c r="AC13" s="70">
        <f t="shared" ca="1" si="16"/>
        <v>1612967.079376305</v>
      </c>
      <c r="AD13" s="70">
        <f t="shared" ca="1" si="16"/>
        <v>-74.489962323590589</v>
      </c>
      <c r="AE13" s="70">
        <f t="shared" ca="1" si="16"/>
        <v>-14.62832534848031</v>
      </c>
      <c r="AF13" s="504">
        <f t="shared" ca="1" si="16"/>
        <v>7309473.0172309242</v>
      </c>
      <c r="AG13" s="507">
        <f t="shared" ca="1" si="16"/>
        <v>-1406.8612079557711</v>
      </c>
      <c r="AH13" s="503">
        <f t="shared" ca="1" si="16"/>
        <v>1580102.3067699368</v>
      </c>
      <c r="AI13" s="504">
        <f t="shared" ca="1" si="16"/>
        <v>7240092.9409445217</v>
      </c>
      <c r="AJ13" s="45">
        <f t="shared" ca="1" si="17"/>
        <v>1.0892799999996896</v>
      </c>
      <c r="AK13" s="464">
        <f t="shared" ca="1" si="18"/>
        <v>4.5820406121327695</v>
      </c>
      <c r="AL13" s="279"/>
    </row>
    <row r="14" spans="1:38" s="14" customFormat="1" ht="12" customHeight="1" x14ac:dyDescent="0.15">
      <c r="A14" s="32">
        <f t="shared" ca="1" si="0"/>
        <v>2473.5471920072523</v>
      </c>
      <c r="B14" s="32">
        <f t="shared" ca="1" si="1"/>
        <v>1633328.1327755372</v>
      </c>
      <c r="C14" s="32">
        <f t="shared" ca="1" si="2"/>
        <v>1583.2594777231207</v>
      </c>
      <c r="D14" s="183">
        <f t="shared" ca="1" si="3"/>
        <v>2066.4016963196145</v>
      </c>
      <c r="E14" s="32">
        <f t="shared" ca="1" si="4"/>
        <v>7373113.9414503789</v>
      </c>
      <c r="F14" s="760">
        <f t="shared" ca="1" si="5"/>
        <v>829.92209107865619</v>
      </c>
      <c r="G14" s="531">
        <f t="shared" ca="1" si="6"/>
        <v>1598382.3301475008</v>
      </c>
      <c r="H14" s="532">
        <f t="shared" ca="1" si="7"/>
        <v>7301497.0818649419</v>
      </c>
      <c r="I14" s="31">
        <f t="shared" ca="1" si="8"/>
        <v>17</v>
      </c>
      <c r="J14" s="302">
        <f t="shared" ca="1" si="20"/>
        <v>4.5621561856924622</v>
      </c>
      <c r="K14" s="46">
        <f t="shared" ca="1" si="21"/>
        <v>4.5680541783711721</v>
      </c>
      <c r="L14" s="440"/>
      <c r="M14" s="441"/>
      <c r="N14" s="45">
        <f ca="1">IFERROR(IFNEG(INDIRECT(ADDRESS(MATCH(FirstLine+15,RawEntrie,0)+ROW(RawEntrie)+ROW()-20,2))-INDIRECT(ADDRESS(MATCH(1+15,RawEntrie,0)+ROW(RawEntrie)-17,2)),""),"")</f>
        <v>1.1571199999993951</v>
      </c>
      <c r="O14" s="399" t="s">
        <v>488</v>
      </c>
      <c r="P14" s="534">
        <f ca="1">IFERROR(D101,0)</f>
        <v>757.42360990986253</v>
      </c>
      <c r="Q14" s="527" t="str">
        <f ca="1">IFERROR(C103,0)</f>
        <v/>
      </c>
      <c r="R14" s="322">
        <f t="shared" ca="1" si="9"/>
        <v>1600448.7318438205</v>
      </c>
      <c r="S14" s="37">
        <f t="shared" ca="1" si="22"/>
        <v>4.5141657658961298</v>
      </c>
      <c r="T14" s="38">
        <f t="shared" ca="1" si="19"/>
        <v>4.5141657658961298</v>
      </c>
      <c r="U14" s="38">
        <f t="shared" ca="1" si="11"/>
        <v>4.5141657658961298</v>
      </c>
      <c r="V14" s="38">
        <f t="shared" ca="1" si="11"/>
        <v>4.5141657658961298</v>
      </c>
      <c r="W14" s="37">
        <f t="shared" ca="1" si="12"/>
        <v>4.5680541783711721</v>
      </c>
      <c r="X14" s="38">
        <f t="shared" ca="1" si="13"/>
        <v>4.5680541783711721</v>
      </c>
      <c r="Y14" s="38">
        <f t="shared" ca="1" si="13"/>
        <v>4.5680541783711721</v>
      </c>
      <c r="Z14" s="47">
        <f t="shared" ca="1" si="13"/>
        <v>4.5680541783711721</v>
      </c>
      <c r="AA14" s="511">
        <f t="shared" ca="1" si="14"/>
        <v>1</v>
      </c>
      <c r="AB14" s="503">
        <f t="shared" ca="1" si="15"/>
        <v>2473.5471920072523</v>
      </c>
      <c r="AC14" s="70">
        <f t="shared" ca="1" si="16"/>
        <v>1633328.1327755372</v>
      </c>
      <c r="AD14" s="70">
        <f t="shared" ca="1" si="16"/>
        <v>1583.2594777231207</v>
      </c>
      <c r="AE14" s="70">
        <f t="shared" ca="1" si="16"/>
        <v>2066.4016963196145</v>
      </c>
      <c r="AF14" s="504">
        <f t="shared" ca="1" si="16"/>
        <v>7373113.9414503789</v>
      </c>
      <c r="AG14" s="507">
        <f t="shared" ca="1" si="16"/>
        <v>829.92209107865619</v>
      </c>
      <c r="AH14" s="503">
        <f t="shared" ca="1" si="16"/>
        <v>1598382.3301475008</v>
      </c>
      <c r="AI14" s="504">
        <f t="shared" ca="1" si="16"/>
        <v>7301497.0818649419</v>
      </c>
      <c r="AJ14" s="45">
        <f t="shared" ca="1" si="17"/>
        <v>1.1571199999993951</v>
      </c>
      <c r="AK14" s="464">
        <f t="shared" ca="1" si="18"/>
        <v>4.5680541783711721</v>
      </c>
      <c r="AL14" s="279"/>
    </row>
    <row r="15" spans="1:38" s="14" customFormat="1" ht="12" customHeight="1" x14ac:dyDescent="0.15">
      <c r="A15" s="32">
        <f t="shared" ca="1" si="0"/>
        <v>830.05707357384381</v>
      </c>
      <c r="B15" s="32">
        <f t="shared" ca="1" si="1"/>
        <v>1608381.1232782425</v>
      </c>
      <c r="C15" s="32">
        <f t="shared" ca="1" si="2"/>
        <v>1790.4869634830648</v>
      </c>
      <c r="D15" s="183">
        <f t="shared" ca="1" si="3"/>
        <v>1269.2799195441928</v>
      </c>
      <c r="E15" s="32">
        <f t="shared" ca="1" si="4"/>
        <v>7260908.0138357561</v>
      </c>
      <c r="F15" s="760">
        <f t="shared" ca="1" si="5"/>
        <v>-1787.4209417405641</v>
      </c>
      <c r="G15" s="531">
        <f t="shared" ca="1" si="6"/>
        <v>1574232.4424269816</v>
      </c>
      <c r="H15" s="532">
        <f t="shared" ca="1" si="7"/>
        <v>7191908.4972831383</v>
      </c>
      <c r="I15" s="31">
        <f t="shared" ca="1" si="8"/>
        <v>18</v>
      </c>
      <c r="J15" s="302">
        <f t="shared" ca="1" si="20"/>
        <v>4.5648369629019703</v>
      </c>
      <c r="K15" s="46">
        <f t="shared" ca="1" si="21"/>
        <v>4.568517522225263</v>
      </c>
      <c r="L15" s="440"/>
      <c r="M15" s="441"/>
      <c r="N15" s="45">
        <f ca="1">IFERROR(IFNEG(INDIRECT(ADDRESS(MATCH(FirstLine+15,RawEntrie,0)+ROW(RawEntrie)+ROW()-20,2))-INDIRECT(ADDRESS(MATCH(1+15,RawEntrie,0)+ROW(RawEntrie)-17,2)),""),"")</f>
        <v>1.2252159999998185</v>
      </c>
      <c r="O15" s="399" t="s">
        <v>450</v>
      </c>
      <c r="P15" s="439">
        <f ca="1">P13/P10</f>
        <v>2.1529266193555969</v>
      </c>
      <c r="Q15" s="527">
        <f ca="1">(P13-P16)/(P10-P14)</f>
        <v>1.8592160210723281</v>
      </c>
      <c r="R15" s="322">
        <f t="shared" ca="1" si="9"/>
        <v>1575501.7223465259</v>
      </c>
      <c r="S15" s="37">
        <f t="shared" ca="1" si="22"/>
        <v>4.5144200642173615</v>
      </c>
      <c r="T15" s="38">
        <f t="shared" ca="1" si="19"/>
        <v>4.5144200642173615</v>
      </c>
      <c r="U15" s="38">
        <f t="shared" ca="1" si="11"/>
        <v>4.5144200642173615</v>
      </c>
      <c r="V15" s="38">
        <f t="shared" ca="1" si="11"/>
        <v>4.5144200642173615</v>
      </c>
      <c r="W15" s="37">
        <f t="shared" ca="1" si="12"/>
        <v>4.568517522225263</v>
      </c>
      <c r="X15" s="38">
        <f t="shared" ca="1" si="13"/>
        <v>4.568517522225263</v>
      </c>
      <c r="Y15" s="38">
        <f t="shared" ca="1" si="13"/>
        <v>4.568517522225263</v>
      </c>
      <c r="Z15" s="47">
        <f t="shared" ca="1" si="13"/>
        <v>4.568517522225263</v>
      </c>
      <c r="AA15" s="511">
        <f t="shared" ca="1" si="14"/>
        <v>1</v>
      </c>
      <c r="AB15" s="503">
        <f t="shared" ca="1" si="15"/>
        <v>830.05707357384381</v>
      </c>
      <c r="AC15" s="70">
        <f t="shared" ca="1" si="16"/>
        <v>1608381.1232782425</v>
      </c>
      <c r="AD15" s="70">
        <f t="shared" ca="1" si="16"/>
        <v>1790.4869634830648</v>
      </c>
      <c r="AE15" s="70">
        <f t="shared" ca="1" si="16"/>
        <v>1269.2799195441928</v>
      </c>
      <c r="AF15" s="504">
        <f t="shared" ca="1" si="16"/>
        <v>7260908.0138357561</v>
      </c>
      <c r="AG15" s="507">
        <f t="shared" ca="1" si="16"/>
        <v>-1787.4209417405641</v>
      </c>
      <c r="AH15" s="503">
        <f t="shared" ca="1" si="16"/>
        <v>1574232.4424269816</v>
      </c>
      <c r="AI15" s="504">
        <f t="shared" ca="1" si="16"/>
        <v>7191908.4972831383</v>
      </c>
      <c r="AJ15" s="45">
        <f t="shared" ca="1" si="17"/>
        <v>1.2252159999998185</v>
      </c>
      <c r="AK15" s="464">
        <f t="shared" ca="1" si="18"/>
        <v>4.568517522225263</v>
      </c>
      <c r="AL15" s="279"/>
    </row>
    <row r="16" spans="1:38" s="14" customFormat="1" ht="12" customHeight="1" x14ac:dyDescent="0.15">
      <c r="A16" s="32">
        <f t="shared" ca="1" si="0"/>
        <v>1501.3165668077963</v>
      </c>
      <c r="B16" s="32">
        <f t="shared" ca="1" si="1"/>
        <v>1616809.4033717932</v>
      </c>
      <c r="C16" s="32">
        <f t="shared" ca="1" si="2"/>
        <v>76.126746577167069</v>
      </c>
      <c r="D16" s="183">
        <f t="shared" ca="1" si="3"/>
        <v>849.55016983650489</v>
      </c>
      <c r="E16" s="32">
        <f t="shared" ca="1" si="4"/>
        <v>7302453.3134633191</v>
      </c>
      <c r="F16" s="760">
        <f t="shared" ca="1" si="5"/>
        <v>3234.8697679362267</v>
      </c>
      <c r="G16" s="531">
        <f t="shared" ca="1" si="6"/>
        <v>1583080.4522702401</v>
      </c>
      <c r="H16" s="532">
        <f t="shared" ca="1" si="7"/>
        <v>7228431.5062010251</v>
      </c>
      <c r="I16" s="31">
        <f t="shared" ca="1" si="8"/>
        <v>19</v>
      </c>
      <c r="J16" s="302">
        <f t="shared" ca="1" si="20"/>
        <v>4.5636053961131351</v>
      </c>
      <c r="K16" s="46">
        <f t="shared" ca="1" si="21"/>
        <v>4.5660544262516698</v>
      </c>
      <c r="L16" s="440"/>
      <c r="M16" s="441"/>
      <c r="N16" s="45">
        <f ca="1">IFERROR(IFNEG(INDIRECT(ADDRESS(MATCH(FirstLine+15,RawEntrie,0)+ROW(RawEntrie)+ROW()-20,2))-INDIRECT(ADDRESS(MATCH(1+15,RawEntrie,0)+ROW(RawEntrie)-17,2)),""),"")</f>
        <v>1.2930559999999787</v>
      </c>
      <c r="O16" s="548" t="s">
        <v>577</v>
      </c>
      <c r="P16" s="580">
        <f ca="1">R309</f>
        <v>11065.24262913285</v>
      </c>
      <c r="Q16" s="527">
        <f ca="1">IFERROR(R311,0)</f>
        <v>0.67704576039766795</v>
      </c>
      <c r="R16" s="322">
        <f t="shared" ca="1" si="9"/>
        <v>1583930.0024400766</v>
      </c>
      <c r="S16" s="37">
        <f t="shared" ca="1" si="22"/>
        <v>4.5165826585584767</v>
      </c>
      <c r="T16" s="38">
        <f t="shared" ca="1" si="19"/>
        <v>4.5165826585584767</v>
      </c>
      <c r="U16" s="38">
        <f t="shared" ca="1" si="11"/>
        <v>4.5165826585584767</v>
      </c>
      <c r="V16" s="38">
        <f t="shared" ca="1" si="11"/>
        <v>4.5165826585584767</v>
      </c>
      <c r="W16" s="37">
        <f t="shared" ca="1" si="12"/>
        <v>4.5660544262516698</v>
      </c>
      <c r="X16" s="38">
        <f t="shared" ca="1" si="13"/>
        <v>4.5660544262516698</v>
      </c>
      <c r="Y16" s="38">
        <f t="shared" ca="1" si="13"/>
        <v>4.5660544262516698</v>
      </c>
      <c r="Z16" s="47">
        <f t="shared" ca="1" si="13"/>
        <v>4.5660544262516698</v>
      </c>
      <c r="AA16" s="511">
        <f t="shared" ca="1" si="14"/>
        <v>1</v>
      </c>
      <c r="AB16" s="503">
        <f t="shared" ca="1" si="15"/>
        <v>1501.3165668077963</v>
      </c>
      <c r="AC16" s="70">
        <f t="shared" ca="1" si="16"/>
        <v>1616809.4033717932</v>
      </c>
      <c r="AD16" s="70">
        <f t="shared" ca="1" si="16"/>
        <v>76.126746577167069</v>
      </c>
      <c r="AE16" s="70">
        <f t="shared" ca="1" si="16"/>
        <v>849.55016983650489</v>
      </c>
      <c r="AF16" s="504">
        <f t="shared" ca="1" si="16"/>
        <v>7302453.3134633191</v>
      </c>
      <c r="AG16" s="507">
        <f t="shared" ca="1" si="16"/>
        <v>3234.8697679362267</v>
      </c>
      <c r="AH16" s="503">
        <f t="shared" ca="1" si="16"/>
        <v>1583080.4522702401</v>
      </c>
      <c r="AI16" s="504">
        <f t="shared" ca="1" si="16"/>
        <v>7228431.5062010251</v>
      </c>
      <c r="AJ16" s="45">
        <f t="shared" ca="1" si="17"/>
        <v>1.2930559999999787</v>
      </c>
      <c r="AK16" s="464">
        <f t="shared" ca="1" si="18"/>
        <v>4.5660544262516698</v>
      </c>
      <c r="AL16" s="279"/>
    </row>
    <row r="17" spans="1:38" s="14" customFormat="1" ht="12" customHeight="1" x14ac:dyDescent="0.15">
      <c r="A17" s="32">
        <f t="shared" ca="1" si="0"/>
        <v>1574.0354060194295</v>
      </c>
      <c r="B17" s="32">
        <f t="shared" ca="1" si="1"/>
        <v>1600934.8198306696</v>
      </c>
      <c r="C17" s="32">
        <f t="shared" ca="1" si="2"/>
        <v>827.68148261220995</v>
      </c>
      <c r="D17" s="183">
        <f t="shared" ca="1" si="3"/>
        <v>1232.7135690126286</v>
      </c>
      <c r="E17" s="32">
        <f t="shared" ca="1" si="4"/>
        <v>7245006.036329194</v>
      </c>
      <c r="F17" s="760">
        <f t="shared" ca="1" si="5"/>
        <v>669.22025835817567</v>
      </c>
      <c r="G17" s="531">
        <f t="shared" ca="1" si="6"/>
        <v>1566822.7053299402</v>
      </c>
      <c r="H17" s="532">
        <f t="shared" ca="1" si="7"/>
        <v>7173549.878576478</v>
      </c>
      <c r="I17" s="31">
        <f t="shared" ca="1" si="8"/>
        <v>20</v>
      </c>
      <c r="J17" s="302">
        <f t="shared" ca="1" si="20"/>
        <v>4.5748063442895122</v>
      </c>
      <c r="K17" s="46">
        <f t="shared" ca="1" si="21"/>
        <v>4.57840561933003</v>
      </c>
      <c r="L17" s="440"/>
      <c r="M17" s="441"/>
      <c r="N17" s="45">
        <f ca="1">IFERROR(IFNEG(INDIRECT(ADDRESS(MATCH(FirstLine+15,RawEntrie,0)+ROW(RawEntrie)+ROW()-20,2))-INDIRECT(ADDRESS(MATCH(1+15,RawEntrie,0)+ROW(RawEntrie)-17,2)),""),"")</f>
        <v>1.3611519999994925</v>
      </c>
      <c r="O17" s="53"/>
      <c r="P17" s="109"/>
      <c r="Q17" s="53"/>
      <c r="R17" s="322">
        <f t="shared" ca="1" si="9"/>
        <v>1568055.4188989529</v>
      </c>
      <c r="S17" s="37">
        <f t="shared" ca="1" si="22"/>
        <v>4.5254847021788782</v>
      </c>
      <c r="T17" s="38">
        <f t="shared" ca="1" si="19"/>
        <v>4.5254847021788782</v>
      </c>
      <c r="U17" s="38">
        <f t="shared" ca="1" si="11"/>
        <v>4.5254847021788782</v>
      </c>
      <c r="V17" s="38">
        <f t="shared" ca="1" si="11"/>
        <v>4.5254847021788782</v>
      </c>
      <c r="W17" s="37">
        <f t="shared" ca="1" si="12"/>
        <v>4.57840561933003</v>
      </c>
      <c r="X17" s="38">
        <f t="shared" ca="1" si="13"/>
        <v>4.57840561933003</v>
      </c>
      <c r="Y17" s="38">
        <f t="shared" ca="1" si="13"/>
        <v>4.57840561933003</v>
      </c>
      <c r="Z17" s="47">
        <f t="shared" ca="1" si="13"/>
        <v>4.57840561933003</v>
      </c>
      <c r="AA17" s="511">
        <f t="shared" ca="1" si="14"/>
        <v>1</v>
      </c>
      <c r="AB17" s="503">
        <f t="shared" ca="1" si="15"/>
        <v>1574.0354060194295</v>
      </c>
      <c r="AC17" s="70">
        <f t="shared" ca="1" si="16"/>
        <v>1600934.8198306696</v>
      </c>
      <c r="AD17" s="70">
        <f t="shared" ca="1" si="16"/>
        <v>827.68148261220995</v>
      </c>
      <c r="AE17" s="70">
        <f t="shared" ca="1" si="16"/>
        <v>1232.7135690126286</v>
      </c>
      <c r="AF17" s="504">
        <f t="shared" ca="1" si="16"/>
        <v>7245006.036329194</v>
      </c>
      <c r="AG17" s="507">
        <f t="shared" ca="1" si="16"/>
        <v>669.22025835817567</v>
      </c>
      <c r="AH17" s="503">
        <f t="shared" ca="1" si="16"/>
        <v>1566822.7053299402</v>
      </c>
      <c r="AI17" s="504">
        <f t="shared" ca="1" si="16"/>
        <v>7173549.878576478</v>
      </c>
      <c r="AJ17" s="45">
        <f t="shared" ca="1" si="17"/>
        <v>1.3611519999994925</v>
      </c>
      <c r="AK17" s="464">
        <f t="shared" ca="1" si="18"/>
        <v>4.57840561933003</v>
      </c>
      <c r="AL17" s="279"/>
    </row>
    <row r="18" spans="1:38" s="14" customFormat="1" ht="12" customHeight="1" x14ac:dyDescent="0.15">
      <c r="A18" s="32">
        <f t="shared" ca="1" si="0"/>
        <v>-122.40339044846405</v>
      </c>
      <c r="B18" s="32">
        <f t="shared" ca="1" si="1"/>
        <v>1593452.8885570029</v>
      </c>
      <c r="C18" s="32">
        <f t="shared" ca="1" si="2"/>
        <v>161.52881135324787</v>
      </c>
      <c r="D18" s="183">
        <f t="shared" ca="1" si="3"/>
        <v>7.44420285141004</v>
      </c>
      <c r="E18" s="32">
        <f t="shared" ca="1" si="4"/>
        <v>7212909.0398778822</v>
      </c>
      <c r="F18" s="760">
        <f t="shared" ca="1" si="5"/>
        <v>2462.692545528289</v>
      </c>
      <c r="G18" s="531">
        <f t="shared" ca="1" si="6"/>
        <v>1560566.0434224347</v>
      </c>
      <c r="H18" s="532">
        <f t="shared" ca="1" si="7"/>
        <v>7139659.4098379957</v>
      </c>
      <c r="I18" s="31">
        <f t="shared" ca="1" si="8"/>
        <v>21</v>
      </c>
      <c r="J18" s="302">
        <f t="shared" ca="1" si="20"/>
        <v>4.5750228787382294</v>
      </c>
      <c r="K18" s="46">
        <f t="shared" ca="1" si="21"/>
        <v>4.5750447024851342</v>
      </c>
      <c r="L18" s="440"/>
      <c r="M18" s="441"/>
      <c r="N18" s="45">
        <f ca="1">IFERROR(IFNEG(INDIRECT(ADDRESS(MATCH(FirstLine+15,RawEntrie,0)+ROW(RawEntrie)+ROW()-20,2))-INDIRECT(ADDRESS(MATCH(1+15,RawEntrie,0)+ROW(RawEntrie)-17,2)),""),"")</f>
        <v>1.4292479999994612</v>
      </c>
      <c r="O18" s="793" t="str">
        <f>input!A1</f>
        <v>259_U</v>
      </c>
      <c r="P18" s="794"/>
      <c r="Q18" s="400">
        <f>IFERROR('Tab1'!U24,1)</f>
        <v>1.1319698634365751</v>
      </c>
      <c r="R18" s="322">
        <f t="shared" ca="1" si="9"/>
        <v>1560573.4876252862</v>
      </c>
      <c r="S18" s="37">
        <f t="shared" ca="1" si="22"/>
        <v>4.5265907085648074</v>
      </c>
      <c r="T18" s="38">
        <f t="shared" ca="1" si="19"/>
        <v>4.5265907085648074</v>
      </c>
      <c r="U18" s="38">
        <f t="shared" ca="1" si="11"/>
        <v>4.5265907085648074</v>
      </c>
      <c r="V18" s="38">
        <f t="shared" ca="1" si="11"/>
        <v>4.5265907085648074</v>
      </c>
      <c r="W18" s="37">
        <f t="shared" ca="1" si="12"/>
        <v>4.5750447024851342</v>
      </c>
      <c r="X18" s="38">
        <f t="shared" ca="1" si="13"/>
        <v>4.5750447024851342</v>
      </c>
      <c r="Y18" s="38">
        <f t="shared" ca="1" si="13"/>
        <v>4.5750447024851342</v>
      </c>
      <c r="Z18" s="47">
        <f t="shared" ca="1" si="13"/>
        <v>4.5750447024851342</v>
      </c>
      <c r="AA18" s="511">
        <f t="shared" ca="1" si="14"/>
        <v>1</v>
      </c>
      <c r="AB18" s="503">
        <f t="shared" ca="1" si="15"/>
        <v>-122.40339044846405</v>
      </c>
      <c r="AC18" s="70">
        <f t="shared" ca="1" si="16"/>
        <v>1593452.8885570029</v>
      </c>
      <c r="AD18" s="70">
        <f t="shared" ca="1" si="16"/>
        <v>161.52881135324787</v>
      </c>
      <c r="AE18" s="70">
        <f t="shared" ca="1" si="16"/>
        <v>7.44420285141004</v>
      </c>
      <c r="AF18" s="504">
        <f t="shared" ca="1" si="16"/>
        <v>7212909.0398778822</v>
      </c>
      <c r="AG18" s="507">
        <f t="shared" ca="1" si="16"/>
        <v>2462.692545528289</v>
      </c>
      <c r="AH18" s="503">
        <f t="shared" ca="1" si="16"/>
        <v>1560566.0434224347</v>
      </c>
      <c r="AI18" s="504">
        <f t="shared" ca="1" si="16"/>
        <v>7139659.4098379957</v>
      </c>
      <c r="AJ18" s="45">
        <f t="shared" ca="1" si="17"/>
        <v>1.4292479999994612</v>
      </c>
      <c r="AK18" s="464">
        <f t="shared" ca="1" si="18"/>
        <v>4.5750447024851342</v>
      </c>
      <c r="AL18" s="279"/>
    </row>
    <row r="19" spans="1:38" s="14" customFormat="1" ht="12" customHeight="1" x14ac:dyDescent="0.15">
      <c r="A19" s="32">
        <f t="shared" ca="1" si="0"/>
        <v>-1936.2879833617299</v>
      </c>
      <c r="B19" s="32">
        <f t="shared" ca="1" si="1"/>
        <v>1603099.7211171696</v>
      </c>
      <c r="C19" s="32">
        <f t="shared" ca="1" si="2"/>
        <v>483.64750738865405</v>
      </c>
      <c r="D19" s="183">
        <f t="shared" ca="1" si="3"/>
        <v>-829.60548162024384</v>
      </c>
      <c r="E19" s="32">
        <f t="shared" ca="1" si="4"/>
        <v>7240507.6268101819</v>
      </c>
      <c r="F19" s="760">
        <f t="shared" ca="1" si="5"/>
        <v>-246.58111905029091</v>
      </c>
      <c r="G19" s="531">
        <f t="shared" ca="1" si="6"/>
        <v>1571049.9256670731</v>
      </c>
      <c r="H19" s="532">
        <f t="shared" ca="1" si="7"/>
        <v>7169967.2704348741</v>
      </c>
      <c r="I19" s="31">
        <f t="shared" ca="1" si="8"/>
        <v>22</v>
      </c>
      <c r="J19" s="302">
        <f t="shared" ca="1" si="20"/>
        <v>4.5662173506887589</v>
      </c>
      <c r="K19" s="46">
        <f t="shared" ca="1" si="21"/>
        <v>4.5638061230870699</v>
      </c>
      <c r="L19" s="440"/>
      <c r="M19" s="441"/>
      <c r="N19" s="45">
        <f ca="1">IFERROR(IFNEG(INDIRECT(ADDRESS(MATCH(FirstLine+15,RawEntrie,0)+ROW(RawEntrie)+ROW()-20,2))-INDIRECT(ADDRESS(MATCH(1+15,RawEntrie,0)+ROW(RawEntrie)-17,2)),""),"")</f>
        <v>1.497599999999693</v>
      </c>
      <c r="O19" s="795"/>
      <c r="P19" s="796"/>
      <c r="Q19" s="401">
        <v>259</v>
      </c>
      <c r="R19" s="322">
        <f t="shared" ca="1" si="9"/>
        <v>1570220.3201854529</v>
      </c>
      <c r="S19" s="37">
        <f t="shared" ca="1" si="22"/>
        <v>4.5165672050422483</v>
      </c>
      <c r="T19" s="38">
        <f t="shared" ca="1" si="19"/>
        <v>4.5165672050422483</v>
      </c>
      <c r="U19" s="38">
        <f t="shared" ca="1" si="11"/>
        <v>4.5165672050422483</v>
      </c>
      <c r="V19" s="38">
        <f t="shared" ca="1" si="11"/>
        <v>4.5165672050422483</v>
      </c>
      <c r="W19" s="37">
        <f t="shared" ca="1" si="12"/>
        <v>4.5638061230870699</v>
      </c>
      <c r="X19" s="38">
        <f t="shared" ca="1" si="13"/>
        <v>4.5638061230870699</v>
      </c>
      <c r="Y19" s="38">
        <f t="shared" ca="1" si="13"/>
        <v>4.5638061230870699</v>
      </c>
      <c r="Z19" s="47">
        <f t="shared" ca="1" si="13"/>
        <v>4.5638061230870699</v>
      </c>
      <c r="AA19" s="511">
        <f t="shared" ca="1" si="14"/>
        <v>1</v>
      </c>
      <c r="AB19" s="503">
        <f t="shared" ca="1" si="15"/>
        <v>-1936.2879833617299</v>
      </c>
      <c r="AC19" s="70">
        <f t="shared" ref="AC19:AI25" ca="1" si="23">IF($AA19=1,B19," ")</f>
        <v>1603099.7211171696</v>
      </c>
      <c r="AD19" s="70">
        <f t="shared" ca="1" si="23"/>
        <v>483.64750738865405</v>
      </c>
      <c r="AE19" s="70">
        <f t="shared" ca="1" si="23"/>
        <v>-829.60548162024384</v>
      </c>
      <c r="AF19" s="504">
        <f t="shared" ca="1" si="23"/>
        <v>7240507.6268101819</v>
      </c>
      <c r="AG19" s="507">
        <f t="shared" ca="1" si="23"/>
        <v>-246.58111905029091</v>
      </c>
      <c r="AH19" s="503">
        <f t="shared" ca="1" si="23"/>
        <v>1571049.9256670731</v>
      </c>
      <c r="AI19" s="504">
        <f t="shared" ca="1" si="23"/>
        <v>7169967.2704348741</v>
      </c>
      <c r="AJ19" s="45">
        <f t="shared" ca="1" si="17"/>
        <v>1.497599999999693</v>
      </c>
      <c r="AK19" s="464">
        <f t="shared" ca="1" si="18"/>
        <v>4.5638061230870699</v>
      </c>
      <c r="AL19" s="279"/>
    </row>
    <row r="20" spans="1:38" s="14" customFormat="1" ht="12" customHeight="1" x14ac:dyDescent="0.15">
      <c r="A20" s="32">
        <f t="shared" ca="1" si="0"/>
        <v>2097.8154933489641</v>
      </c>
      <c r="B20" s="32">
        <f t="shared" ca="1" si="1"/>
        <v>1617451.9051739068</v>
      </c>
      <c r="C20" s="32">
        <f t="shared" ca="1" si="2"/>
        <v>428.018620808165</v>
      </c>
      <c r="D20" s="183">
        <f t="shared" ca="1" si="3"/>
        <v>1334.1856414926465</v>
      </c>
      <c r="E20" s="32">
        <f t="shared" ca="1" si="4"/>
        <v>7309633.1265591504</v>
      </c>
      <c r="F20" s="760">
        <f t="shared" ca="1" si="5"/>
        <v>271.5457118247914</v>
      </c>
      <c r="G20" s="531">
        <f t="shared" ca="1" si="6"/>
        <v>1583238.3186006974</v>
      </c>
      <c r="H20" s="532">
        <f t="shared" ca="1" si="7"/>
        <v>7238574.6433529677</v>
      </c>
      <c r="I20" s="31">
        <f t="shared" ca="1" si="8"/>
        <v>23</v>
      </c>
      <c r="J20" s="302">
        <f t="shared" ca="1" si="20"/>
        <v>4.5681561581902885</v>
      </c>
      <c r="K20" s="46">
        <f t="shared" ca="1" si="21"/>
        <v>4.5720057165813088</v>
      </c>
      <c r="L20" s="440"/>
      <c r="M20" s="441"/>
      <c r="N20" s="45">
        <f ca="1">IFERROR(IFNEG(INDIRECT(ADDRESS(MATCH(FirstLine+15,RawEntrie,0)+ROW(RawEntrie)+ROW()-20,2))-INDIRECT(ADDRESS(MATCH(1+15,RawEntrie,0)+ROW(RawEntrie)-17,2)),""),"")</f>
        <v>1.5656959999996616</v>
      </c>
      <c r="O20" s="53"/>
      <c r="P20" s="533">
        <f>IFERROR(M319-P24,0)</f>
        <v>-11.009305405999999</v>
      </c>
      <c r="Q20" s="53"/>
      <c r="R20" s="322">
        <f t="shared" ca="1" si="9"/>
        <v>1584572.5042421902</v>
      </c>
      <c r="S20" s="37">
        <f t="shared" ca="1" si="22"/>
        <v>4.5192274980029321</v>
      </c>
      <c r="T20" s="38">
        <f t="shared" ca="1" si="19"/>
        <v>4.5192274980029321</v>
      </c>
      <c r="U20" s="38">
        <f t="shared" ca="1" si="11"/>
        <v>4.5192274980029321</v>
      </c>
      <c r="V20" s="38">
        <f t="shared" ca="1" si="11"/>
        <v>4.5192274980029321</v>
      </c>
      <c r="W20" s="37">
        <f t="shared" ca="1" si="12"/>
        <v>4.5720057165813088</v>
      </c>
      <c r="X20" s="38">
        <f t="shared" ca="1" si="13"/>
        <v>4.5720057165813088</v>
      </c>
      <c r="Y20" s="38">
        <f t="shared" ca="1" si="13"/>
        <v>4.5720057165813088</v>
      </c>
      <c r="Z20" s="47">
        <f t="shared" ca="1" si="13"/>
        <v>4.5720057165813088</v>
      </c>
      <c r="AA20" s="511">
        <f t="shared" ca="1" si="14"/>
        <v>1</v>
      </c>
      <c r="AB20" s="503">
        <f t="shared" ca="1" si="15"/>
        <v>2097.8154933489641</v>
      </c>
      <c r="AC20" s="70">
        <f t="shared" ca="1" si="23"/>
        <v>1617451.9051739068</v>
      </c>
      <c r="AD20" s="70">
        <f t="shared" ca="1" si="23"/>
        <v>428.018620808165</v>
      </c>
      <c r="AE20" s="70">
        <f t="shared" ca="1" si="23"/>
        <v>1334.1856414926465</v>
      </c>
      <c r="AF20" s="504">
        <f t="shared" ca="1" si="23"/>
        <v>7309633.1265591504</v>
      </c>
      <c r="AG20" s="507">
        <f t="shared" ca="1" si="23"/>
        <v>271.5457118247914</v>
      </c>
      <c r="AH20" s="503">
        <f t="shared" ca="1" si="23"/>
        <v>1583238.3186006974</v>
      </c>
      <c r="AI20" s="504">
        <f t="shared" ca="1" si="23"/>
        <v>7238574.6433529677</v>
      </c>
      <c r="AJ20" s="45">
        <f t="shared" ca="1" si="17"/>
        <v>1.5656959999996616</v>
      </c>
      <c r="AK20" s="464">
        <f t="shared" ca="1" si="18"/>
        <v>4.5720057165813088</v>
      </c>
      <c r="AL20" s="279"/>
    </row>
    <row r="21" spans="1:38" s="14" customFormat="1" ht="12" customHeight="1" x14ac:dyDescent="0.15">
      <c r="A21" s="32">
        <f t="shared" ca="1" si="0"/>
        <v>2861.9336604691598</v>
      </c>
      <c r="B21" s="32">
        <f t="shared" ca="1" si="1"/>
        <v>1622683.3553083795</v>
      </c>
      <c r="C21" s="32">
        <f t="shared" ca="1" si="2"/>
        <v>-1749.7345814787332</v>
      </c>
      <c r="D21" s="183">
        <f t="shared" ca="1" si="3"/>
        <v>752.93010780912891</v>
      </c>
      <c r="E21" s="32">
        <f t="shared" ca="1" si="4"/>
        <v>7348890.2309191823</v>
      </c>
      <c r="F21" s="760">
        <f t="shared" ca="1" si="5"/>
        <v>-375.43241150702306</v>
      </c>
      <c r="G21" s="531">
        <f t="shared" ca="1" si="6"/>
        <v>1589051.0242688537</v>
      </c>
      <c r="H21" s="532">
        <f t="shared" ca="1" si="7"/>
        <v>7278478.725836331</v>
      </c>
      <c r="I21" s="31">
        <f t="shared" ca="1" si="8"/>
        <v>24</v>
      </c>
      <c r="J21" s="302">
        <f t="shared" ca="1" si="20"/>
        <v>4.5782240670612175</v>
      </c>
      <c r="K21" s="46">
        <f t="shared" ca="1" si="21"/>
        <v>4.5803933383355444</v>
      </c>
      <c r="L21" s="440"/>
      <c r="M21" s="441"/>
      <c r="N21" s="45">
        <f ca="1">IFERROR(IFNEG(INDIRECT(ADDRESS(MATCH(FirstLine+15,RawEntrie,0)+ROW(RawEntrie)+ROW()-20,2))-INDIRECT(ADDRESS(MATCH(1+15,RawEntrie,0)+ROW(RawEntrie)-17,2)),""),"")</f>
        <v>1.6337919999996302</v>
      </c>
      <c r="O21" s="519" t="s">
        <v>52</v>
      </c>
      <c r="P21" s="520"/>
      <c r="Q21" s="29"/>
      <c r="R21" s="322">
        <f t="shared" ca="1" si="9"/>
        <v>1589803.9543766628</v>
      </c>
      <c r="S21" s="37">
        <f t="shared" ca="1" si="22"/>
        <v>4.5288504420029483</v>
      </c>
      <c r="T21" s="38">
        <f t="shared" ca="1" si="19"/>
        <v>4.5288504420029483</v>
      </c>
      <c r="U21" s="38">
        <f t="shared" ca="1" si="11"/>
        <v>4.5288504420029483</v>
      </c>
      <c r="V21" s="38">
        <f t="shared" ca="1" si="11"/>
        <v>4.5288504420029483</v>
      </c>
      <c r="W21" s="37">
        <f t="shared" ca="1" si="12"/>
        <v>4.5803933383355444</v>
      </c>
      <c r="X21" s="38">
        <f t="shared" ca="1" si="13"/>
        <v>4.5803933383355444</v>
      </c>
      <c r="Y21" s="38">
        <f t="shared" ca="1" si="13"/>
        <v>4.5803933383355444</v>
      </c>
      <c r="Z21" s="47">
        <f t="shared" ca="1" si="13"/>
        <v>4.5803933383355444</v>
      </c>
      <c r="AA21" s="511">
        <f t="shared" ca="1" si="14"/>
        <v>1</v>
      </c>
      <c r="AB21" s="503">
        <f t="shared" ca="1" si="15"/>
        <v>2861.9336604691598</v>
      </c>
      <c r="AC21" s="70">
        <f t="shared" ca="1" si="23"/>
        <v>1622683.3553083795</v>
      </c>
      <c r="AD21" s="70">
        <f t="shared" ca="1" si="23"/>
        <v>-1749.7345814787332</v>
      </c>
      <c r="AE21" s="70">
        <f t="shared" ca="1" si="23"/>
        <v>752.93010780912891</v>
      </c>
      <c r="AF21" s="504">
        <f t="shared" ca="1" si="23"/>
        <v>7348890.2309191823</v>
      </c>
      <c r="AG21" s="507">
        <f t="shared" ca="1" si="23"/>
        <v>-375.43241150702306</v>
      </c>
      <c r="AH21" s="503">
        <f t="shared" ca="1" si="23"/>
        <v>1589051.0242688537</v>
      </c>
      <c r="AI21" s="504">
        <f t="shared" ca="1" si="23"/>
        <v>7278478.725836331</v>
      </c>
      <c r="AJ21" s="45">
        <f t="shared" ca="1" si="17"/>
        <v>1.6337919999996302</v>
      </c>
      <c r="AK21" s="464">
        <f t="shared" ca="1" si="18"/>
        <v>4.5803933383355444</v>
      </c>
      <c r="AL21" s="279"/>
    </row>
    <row r="22" spans="1:38" s="14" customFormat="1" ht="12" customHeight="1" x14ac:dyDescent="0.15">
      <c r="A22" s="32">
        <f t="shared" ca="1" si="0"/>
        <v>1575.8035309204388</v>
      </c>
      <c r="B22" s="32">
        <f t="shared" ca="1" si="1"/>
        <v>1617114.0351445687</v>
      </c>
      <c r="C22" s="32">
        <f t="shared" ca="1" si="2"/>
        <v>1100.8692015508277</v>
      </c>
      <c r="D22" s="183">
        <f t="shared" ca="1" si="3"/>
        <v>1358.6070338242723</v>
      </c>
      <c r="E22" s="32">
        <f t="shared" ca="1" si="4"/>
        <v>7323404.8257642472</v>
      </c>
      <c r="F22" s="760">
        <f t="shared" ca="1" si="5"/>
        <v>577.92217087912559</v>
      </c>
      <c r="G22" s="531">
        <f t="shared" ca="1" si="6"/>
        <v>1582876.0271790277</v>
      </c>
      <c r="H22" s="532">
        <f t="shared" ca="1" si="7"/>
        <v>7252039.9660990098</v>
      </c>
      <c r="I22" s="31">
        <f t="shared" ca="1" si="8"/>
        <v>25</v>
      </c>
      <c r="J22" s="302">
        <f t="shared" ca="1" si="20"/>
        <v>4.5776299857894989</v>
      </c>
      <c r="K22" s="46">
        <f t="shared" ca="1" si="21"/>
        <v>4.5815590365743688</v>
      </c>
      <c r="L22" s="440"/>
      <c r="M22" s="441"/>
      <c r="N22" s="45">
        <f ca="1">IFERROR(IFNEG(INDIRECT(ADDRESS(MATCH(FirstLine+15,RawEntrie,0)+ROW(RawEntrie)+ROW()-20,2))-INDIRECT(ADDRESS(MATCH(1+15,RawEntrie,0)+ROW(RawEntrie)-17,2)),""),"")</f>
        <v>1.7018879999995988</v>
      </c>
      <c r="O22" s="521"/>
      <c r="P22" s="522"/>
      <c r="Q22" s="56"/>
      <c r="R22" s="322">
        <f t="shared" ca="1" si="9"/>
        <v>1584234.634212852</v>
      </c>
      <c r="S22" s="37">
        <f t="shared" ca="1" si="22"/>
        <v>4.5286879382687077</v>
      </c>
      <c r="T22" s="38">
        <f t="shared" ca="1" si="19"/>
        <v>4.5286879382687077</v>
      </c>
      <c r="U22" s="38">
        <f t="shared" ca="1" si="11"/>
        <v>4.5286879382687077</v>
      </c>
      <c r="V22" s="38">
        <f t="shared" ca="1" si="11"/>
        <v>4.5286879382687077</v>
      </c>
      <c r="W22" s="37">
        <f t="shared" ca="1" si="12"/>
        <v>4.5815590365743688</v>
      </c>
      <c r="X22" s="38">
        <f t="shared" ca="1" si="13"/>
        <v>4.5815590365743688</v>
      </c>
      <c r="Y22" s="38">
        <f t="shared" ca="1" si="13"/>
        <v>4.5815590365743688</v>
      </c>
      <c r="Z22" s="47">
        <f t="shared" ca="1" si="13"/>
        <v>4.5815590365743688</v>
      </c>
      <c r="AA22" s="511">
        <f t="shared" ca="1" si="14"/>
        <v>1</v>
      </c>
      <c r="AB22" s="503">
        <f t="shared" ca="1" si="15"/>
        <v>1575.8035309204388</v>
      </c>
      <c r="AC22" s="70">
        <f t="shared" ca="1" si="23"/>
        <v>1617114.0351445687</v>
      </c>
      <c r="AD22" s="70">
        <f t="shared" ca="1" si="23"/>
        <v>1100.8692015508277</v>
      </c>
      <c r="AE22" s="70">
        <f t="shared" ca="1" si="23"/>
        <v>1358.6070338242723</v>
      </c>
      <c r="AF22" s="504">
        <f t="shared" ca="1" si="23"/>
        <v>7323404.8257642472</v>
      </c>
      <c r="AG22" s="507">
        <f t="shared" ca="1" si="23"/>
        <v>577.92217087912559</v>
      </c>
      <c r="AH22" s="503">
        <f t="shared" ca="1" si="23"/>
        <v>1582876.0271790277</v>
      </c>
      <c r="AI22" s="504">
        <f t="shared" ca="1" si="23"/>
        <v>7252039.9660990098</v>
      </c>
      <c r="AJ22" s="45">
        <f t="shared" ca="1" si="17"/>
        <v>1.7018879999995988</v>
      </c>
      <c r="AK22" s="464">
        <f t="shared" ca="1" si="18"/>
        <v>4.5815590365743688</v>
      </c>
      <c r="AL22" s="279"/>
    </row>
    <row r="23" spans="1:38" s="14" customFormat="1" ht="12" customHeight="1" x14ac:dyDescent="0.15">
      <c r="A23" s="32">
        <f t="shared" ca="1" si="0"/>
        <v>-351.8607028388069</v>
      </c>
      <c r="B23" s="32">
        <f t="shared" ca="1" si="1"/>
        <v>1606403.41559168</v>
      </c>
      <c r="C23" s="32">
        <f t="shared" ca="1" si="2"/>
        <v>1353.5267492822786</v>
      </c>
      <c r="D23" s="183">
        <f t="shared" ca="1" si="3"/>
        <v>428.04539761954572</v>
      </c>
      <c r="E23" s="32">
        <f t="shared" ca="1" si="4"/>
        <v>7263325.7202574853</v>
      </c>
      <c r="F23" s="760">
        <f t="shared" ca="1" si="5"/>
        <v>-467.20161513542735</v>
      </c>
      <c r="G23" s="531">
        <f t="shared" ca="1" si="6"/>
        <v>1573095.9692623438</v>
      </c>
      <c r="H23" s="532">
        <f t="shared" ca="1" si="7"/>
        <v>7193005.9843782624</v>
      </c>
      <c r="I23" s="31">
        <f t="shared" ca="1" si="8"/>
        <v>26</v>
      </c>
      <c r="J23" s="302">
        <f t="shared" ca="1" si="20"/>
        <v>4.5712718187733934</v>
      </c>
      <c r="K23" s="46">
        <f t="shared" ca="1" si="21"/>
        <v>4.5725156792253472</v>
      </c>
      <c r="L23" s="440"/>
      <c r="M23" s="441"/>
      <c r="N23" s="45">
        <f ca="1">IFERROR(IFNEG(INDIRECT(ADDRESS(MATCH(FirstLine+15,RawEntrie,0)+ROW(RawEntrie)+ROW()-20,2))-INDIRECT(ADDRESS(MATCH(1+15,RawEntrie,0)+ROW(RawEntrie)-17,2)),""),"")</f>
        <v>1.769727999999759</v>
      </c>
      <c r="O23" s="523" t="s">
        <v>451</v>
      </c>
      <c r="P23" s="524">
        <v>10.012936992</v>
      </c>
      <c r="Q23" s="56"/>
      <c r="R23" s="322">
        <f t="shared" ca="1" si="9"/>
        <v>1573524.0146599633</v>
      </c>
      <c r="S23" s="37">
        <f t="shared" ca="1" si="22"/>
        <v>4.5214829909846861</v>
      </c>
      <c r="T23" s="38">
        <f t="shared" ca="1" si="19"/>
        <v>4.5214829909846861</v>
      </c>
      <c r="U23" s="38">
        <f t="shared" ref="U23:V42" ca="1" si="24">IF(T23&gt;T$104,"",IF(T23&lt;T$105,"",T23))</f>
        <v>4.5214829909846861</v>
      </c>
      <c r="V23" s="38">
        <f t="shared" ca="1" si="24"/>
        <v>4.5214829909846861</v>
      </c>
      <c r="W23" s="37">
        <f t="shared" ca="1" si="12"/>
        <v>4.5725156792253472</v>
      </c>
      <c r="X23" s="38">
        <f t="shared" ref="X23:Z42" ca="1" si="25">IF(W23&gt;W$104,"",IF(W23&lt;W$105,"",W23))</f>
        <v>4.5725156792253472</v>
      </c>
      <c r="Y23" s="38">
        <f t="shared" ca="1" si="25"/>
        <v>4.5725156792253472</v>
      </c>
      <c r="Z23" s="47">
        <f t="shared" ca="1" si="25"/>
        <v>4.5725156792253472</v>
      </c>
      <c r="AA23" s="511">
        <f t="shared" ca="1" si="14"/>
        <v>1</v>
      </c>
      <c r="AB23" s="503">
        <f t="shared" ca="1" si="15"/>
        <v>-351.8607028388069</v>
      </c>
      <c r="AC23" s="70">
        <f t="shared" ca="1" si="23"/>
        <v>1606403.41559168</v>
      </c>
      <c r="AD23" s="70">
        <f t="shared" ca="1" si="23"/>
        <v>1353.5267492822786</v>
      </c>
      <c r="AE23" s="70">
        <f t="shared" ca="1" si="23"/>
        <v>428.04539761954572</v>
      </c>
      <c r="AF23" s="504">
        <f t="shared" ca="1" si="23"/>
        <v>7263325.7202574853</v>
      </c>
      <c r="AG23" s="507">
        <f t="shared" ca="1" si="23"/>
        <v>-467.20161513542735</v>
      </c>
      <c r="AH23" s="503">
        <f t="shared" ca="1" si="23"/>
        <v>1573095.9692623438</v>
      </c>
      <c r="AI23" s="504">
        <f t="shared" ca="1" si="23"/>
        <v>7193005.9843782624</v>
      </c>
      <c r="AJ23" s="45">
        <f t="shared" ca="1" si="17"/>
        <v>1.769727999999759</v>
      </c>
      <c r="AK23" s="464">
        <f t="shared" ca="1" si="18"/>
        <v>4.5725156792253472</v>
      </c>
      <c r="AL23" s="279"/>
    </row>
    <row r="24" spans="1:38" s="14" customFormat="1" ht="12" customHeight="1" x14ac:dyDescent="0.15">
      <c r="A24" s="32">
        <f t="shared" ca="1" si="0"/>
        <v>547.01951393640775</v>
      </c>
      <c r="B24" s="32">
        <f t="shared" ca="1" si="1"/>
        <v>1589915.1208008807</v>
      </c>
      <c r="C24" s="32">
        <f t="shared" ca="1" si="2"/>
        <v>-566.03078935424492</v>
      </c>
      <c r="D24" s="183">
        <f t="shared" ca="1" si="3"/>
        <v>38.000451685347628</v>
      </c>
      <c r="E24" s="32">
        <f t="shared" ca="1" si="4"/>
        <v>7201453.0480655562</v>
      </c>
      <c r="F24" s="760">
        <f t="shared" ca="1" si="5"/>
        <v>426.79312074006066</v>
      </c>
      <c r="G24" s="531">
        <f t="shared" ca="1" si="6"/>
        <v>1556997.7194174787</v>
      </c>
      <c r="H24" s="532">
        <f t="shared" ca="1" si="7"/>
        <v>7130239.3174504582</v>
      </c>
      <c r="I24" s="31">
        <f t="shared" ca="1" si="8"/>
        <v>27</v>
      </c>
      <c r="J24" s="302">
        <f t="shared" ca="1" si="20"/>
        <v>4.5793678503725044</v>
      </c>
      <c r="K24" s="46">
        <f t="shared" ca="1" si="21"/>
        <v>4.5794796154987969</v>
      </c>
      <c r="L24" s="440"/>
      <c r="M24" s="441"/>
      <c r="N24" s="45">
        <f ca="1">IFERROR(IFNEG(INDIRECT(ADDRESS(MATCH(FirstLine+15,RawEntrie,0)+ROW(RawEntrie)+ROW()-20,2))-INDIRECT(ADDRESS(MATCH(1+15,RawEntrie,0)+ROW(RawEntrie)-17,2)),""),"")</f>
        <v>1.8378239999997277</v>
      </c>
      <c r="O24" s="523" t="s">
        <v>452</v>
      </c>
      <c r="P24" s="524">
        <v>11.009305405999999</v>
      </c>
      <c r="Q24" s="56"/>
      <c r="R24" s="322">
        <f t="shared" ca="1" si="9"/>
        <v>1557035.7198691641</v>
      </c>
      <c r="S24" s="37">
        <f t="shared" ca="1" si="22"/>
        <v>4.5294575501854473</v>
      </c>
      <c r="T24" s="38">
        <f t="shared" ca="1" si="19"/>
        <v>4.5294575501854473</v>
      </c>
      <c r="U24" s="38">
        <f t="shared" ca="1" si="24"/>
        <v>4.5294575501854473</v>
      </c>
      <c r="V24" s="38">
        <f t="shared" ca="1" si="24"/>
        <v>4.5294575501854473</v>
      </c>
      <c r="W24" s="37">
        <f t="shared" ca="1" si="12"/>
        <v>4.5794796154987969</v>
      </c>
      <c r="X24" s="38">
        <f t="shared" ca="1" si="25"/>
        <v>4.5794796154987969</v>
      </c>
      <c r="Y24" s="38">
        <f t="shared" ca="1" si="25"/>
        <v>4.5794796154987969</v>
      </c>
      <c r="Z24" s="47">
        <f t="shared" ca="1" si="25"/>
        <v>4.5794796154987969</v>
      </c>
      <c r="AA24" s="511">
        <f t="shared" ca="1" si="14"/>
        <v>1</v>
      </c>
      <c r="AB24" s="503">
        <f t="shared" ca="1" si="15"/>
        <v>547.01951393640775</v>
      </c>
      <c r="AC24" s="70">
        <f t="shared" ca="1" si="23"/>
        <v>1589915.1208008807</v>
      </c>
      <c r="AD24" s="70">
        <f t="shared" ca="1" si="23"/>
        <v>-566.03078935424492</v>
      </c>
      <c r="AE24" s="70">
        <f t="shared" ca="1" si="23"/>
        <v>38.000451685347628</v>
      </c>
      <c r="AF24" s="504">
        <f t="shared" ca="1" si="23"/>
        <v>7201453.0480655562</v>
      </c>
      <c r="AG24" s="507">
        <f t="shared" ca="1" si="23"/>
        <v>426.79312074006066</v>
      </c>
      <c r="AH24" s="503">
        <f t="shared" ca="1" si="23"/>
        <v>1556997.7194174787</v>
      </c>
      <c r="AI24" s="504">
        <f t="shared" ca="1" si="23"/>
        <v>7130239.3174504582</v>
      </c>
      <c r="AJ24" s="45">
        <f t="shared" ca="1" si="17"/>
        <v>1.8378239999997277</v>
      </c>
      <c r="AK24" s="464">
        <f t="shared" ca="1" si="18"/>
        <v>4.5794796154987969</v>
      </c>
      <c r="AL24" s="279"/>
    </row>
    <row r="25" spans="1:38" s="14" customFormat="1" ht="12" customHeight="1" x14ac:dyDescent="0.15">
      <c r="A25" s="32">
        <f t="shared" ca="1" si="0"/>
        <v>2058.370310423019</v>
      </c>
      <c r="B25" s="32">
        <f t="shared" ca="1" si="1"/>
        <v>1583824.9852011851</v>
      </c>
      <c r="C25" s="32">
        <f t="shared" ca="1" si="2"/>
        <v>3135.3943664408725</v>
      </c>
      <c r="D25" s="183">
        <f t="shared" ca="1" si="3"/>
        <v>2550.9138849544224</v>
      </c>
      <c r="E25" s="32">
        <f t="shared" ca="1" si="4"/>
        <v>7158872.9811762385</v>
      </c>
      <c r="F25" s="760">
        <f t="shared" ca="1" si="5"/>
        <v>200.86609676293301</v>
      </c>
      <c r="G25" s="531">
        <f t="shared" ca="1" si="6"/>
        <v>1548394.6703845139</v>
      </c>
      <c r="H25" s="532">
        <f t="shared" ca="1" si="7"/>
        <v>7087885.1775851175</v>
      </c>
      <c r="I25" s="31">
        <f t="shared" ca="1" si="8"/>
        <v>28</v>
      </c>
      <c r="J25" s="302">
        <f t="shared" ca="1" si="20"/>
        <v>4.5700411732521724</v>
      </c>
      <c r="K25" s="46">
        <f t="shared" ca="1" si="21"/>
        <v>4.5775701203007744</v>
      </c>
      <c r="L25" s="440"/>
      <c r="M25" s="441"/>
      <c r="N25" s="45">
        <f ca="1">IFERROR(IFNEG(INDIRECT(ADDRESS(MATCH(FirstLine+15,RawEntrie,0)+ROW(RawEntrie)+ROW()-20,2))-INDIRECT(ADDRESS(MATCH(1+15,RawEntrie,0)+ROW(RawEntrie)-17,2)),""),"")</f>
        <v>1.9059199999996963</v>
      </c>
      <c r="O25" s="523"/>
      <c r="P25" s="524"/>
      <c r="Q25" s="56"/>
      <c r="R25" s="322">
        <f t="shared" ca="1" si="9"/>
        <v>1550945.5842694684</v>
      </c>
      <c r="S25" s="37">
        <f t="shared" ca="1" si="22"/>
        <v>4.5199899282223308</v>
      </c>
      <c r="T25" s="38">
        <f t="shared" ca="1" si="19"/>
        <v>4.5199899282223308</v>
      </c>
      <c r="U25" s="38">
        <f t="shared" ca="1" si="24"/>
        <v>4.5199899282223308</v>
      </c>
      <c r="V25" s="38">
        <f t="shared" ca="1" si="24"/>
        <v>4.5199899282223308</v>
      </c>
      <c r="W25" s="37">
        <f t="shared" ca="1" si="12"/>
        <v>4.5775701203007744</v>
      </c>
      <c r="X25" s="38">
        <f t="shared" ca="1" si="25"/>
        <v>4.5775701203007744</v>
      </c>
      <c r="Y25" s="38">
        <f t="shared" ca="1" si="25"/>
        <v>4.5775701203007744</v>
      </c>
      <c r="Z25" s="47">
        <f t="shared" ca="1" si="25"/>
        <v>4.5775701203007744</v>
      </c>
      <c r="AA25" s="511">
        <f t="shared" ca="1" si="14"/>
        <v>1</v>
      </c>
      <c r="AB25" s="503">
        <f t="shared" ca="1" si="15"/>
        <v>2058.370310423019</v>
      </c>
      <c r="AC25" s="70">
        <f t="shared" ca="1" si="23"/>
        <v>1583824.9852011851</v>
      </c>
      <c r="AD25" s="70">
        <f t="shared" ca="1" si="23"/>
        <v>3135.3943664408725</v>
      </c>
      <c r="AE25" s="70">
        <f t="shared" ca="1" si="23"/>
        <v>2550.9138849544224</v>
      </c>
      <c r="AF25" s="504">
        <f t="shared" ca="1" si="23"/>
        <v>7158872.9811762385</v>
      </c>
      <c r="AG25" s="507">
        <f t="shared" ca="1" si="23"/>
        <v>200.86609676293301</v>
      </c>
      <c r="AH25" s="503">
        <f t="shared" ca="1" si="23"/>
        <v>1548394.6703845139</v>
      </c>
      <c r="AI25" s="504">
        <f t="shared" ca="1" si="23"/>
        <v>7087885.1775851175</v>
      </c>
      <c r="AJ25" s="45">
        <f t="shared" ca="1" si="17"/>
        <v>1.9059199999996963</v>
      </c>
      <c r="AK25" s="464">
        <f t="shared" ca="1" si="18"/>
        <v>4.5775701203007744</v>
      </c>
      <c r="AL25" s="279"/>
    </row>
    <row r="26" spans="1:38" s="14" customFormat="1" ht="12" customHeight="1" x14ac:dyDescent="0.15">
      <c r="A26" s="32">
        <f t="shared" ca="1" si="0"/>
        <v>-828.58104452257248</v>
      </c>
      <c r="B26" s="32">
        <f t="shared" ca="1" si="1"/>
        <v>1585171.9289651171</v>
      </c>
      <c r="C26" s="32">
        <f t="shared" ca="1" si="2"/>
        <v>3179.6929765591303</v>
      </c>
      <c r="D26" s="183">
        <f t="shared" ca="1" si="3"/>
        <v>1004.4788606985401</v>
      </c>
      <c r="E26" s="32">
        <f t="shared" ca="1" si="4"/>
        <v>7153044.7127642259</v>
      </c>
      <c r="F26" s="760">
        <f t="shared" ca="1" si="5"/>
        <v>2592.2493750750818</v>
      </c>
      <c r="G26" s="531">
        <f t="shared" ca="1" si="6"/>
        <v>1551288.0491727018</v>
      </c>
      <c r="H26" s="532">
        <f t="shared" ca="1" si="7"/>
        <v>7079665.5258947928</v>
      </c>
      <c r="I26" s="31">
        <f t="shared" ca="1" si="8"/>
        <v>29</v>
      </c>
      <c r="J26" s="302">
        <f t="shared" ca="1" si="20"/>
        <v>4.5607805217384003</v>
      </c>
      <c r="K26" s="46">
        <f t="shared" ca="1" si="21"/>
        <v>4.5637336854817914</v>
      </c>
      <c r="L26" s="440"/>
      <c r="M26" s="441"/>
      <c r="N26" s="45">
        <f ca="1">IFERROR(IFNEG(INDIRECT(ADDRESS(MATCH(FirstLine+15,RawEntrie,0)+ROW(RawEntrie)+ROW()-20,2))-INDIRECT(ADDRESS(MATCH(1+15,RawEntrie,0)+ROW(RawEntrie)-17,2)),""),"")</f>
        <v>1.9740159999996649</v>
      </c>
      <c r="O26" s="523"/>
      <c r="P26" s="524"/>
      <c r="Q26" s="56"/>
      <c r="R26" s="322">
        <f t="shared" ca="1" si="9"/>
        <v>1552292.5280334004</v>
      </c>
      <c r="S26" s="37">
        <f t="shared" ref="S26:S28" ca="1" si="26">IFERROR(IF(E26&gt;LimitSignB11b,E26/B26,""),"")</f>
        <v>4.5124724845677191</v>
      </c>
      <c r="T26" s="38">
        <f t="shared" ca="1" si="19"/>
        <v>4.5124724845677191</v>
      </c>
      <c r="U26" s="38">
        <f t="shared" ca="1" si="24"/>
        <v>4.5124724845677191</v>
      </c>
      <c r="V26" s="38">
        <f t="shared" ca="1" si="24"/>
        <v>4.5124724845677191</v>
      </c>
      <c r="W26" s="37">
        <f t="shared" ref="W26:W28" ca="1" si="27">IFERROR(IF(E26&gt;LimitSignB11b,H26/G26,""),"")</f>
        <v>4.5637336854817914</v>
      </c>
      <c r="X26" s="38">
        <f t="shared" ca="1" si="25"/>
        <v>4.5637336854817914</v>
      </c>
      <c r="Y26" s="38">
        <f t="shared" ca="1" si="25"/>
        <v>4.5637336854817914</v>
      </c>
      <c r="Z26" s="47">
        <f t="shared" ca="1" si="25"/>
        <v>4.5637336854817914</v>
      </c>
      <c r="AA26" s="511">
        <f t="shared" ref="AA26:AA28" ca="1" si="28">IF(K26&lt;&gt;"",1,"")</f>
        <v>1</v>
      </c>
      <c r="AB26" s="503">
        <f t="shared" ref="AB26:AB28" ca="1" si="29">IF($AA26=1,A26," ")</f>
        <v>-828.58104452257248</v>
      </c>
      <c r="AC26" s="70">
        <f t="shared" ref="AC26:AC28" ca="1" si="30">IF($AA26=1,B26," ")</f>
        <v>1585171.9289651171</v>
      </c>
      <c r="AD26" s="70">
        <f t="shared" ref="AD26:AD28" ca="1" si="31">IF($AA26=1,C26," ")</f>
        <v>3179.6929765591303</v>
      </c>
      <c r="AE26" s="70">
        <f t="shared" ref="AE26:AE28" ca="1" si="32">IF($AA26=1,D26," ")</f>
        <v>1004.4788606985401</v>
      </c>
      <c r="AF26" s="504">
        <f t="shared" ref="AF26:AF28" ca="1" si="33">IF($AA26=1,E26," ")</f>
        <v>7153044.7127642259</v>
      </c>
      <c r="AG26" s="507">
        <f t="shared" ref="AG26:AG28" ca="1" si="34">IF($AA26=1,F26," ")</f>
        <v>2592.2493750750818</v>
      </c>
      <c r="AH26" s="503">
        <f t="shared" ref="AH26:AH28" ca="1" si="35">IF($AA26=1,G26," ")</f>
        <v>1551288.0491727018</v>
      </c>
      <c r="AI26" s="504">
        <f t="shared" ref="AI26:AI28" ca="1" si="36">IF($AA26=1,H26," ")</f>
        <v>7079665.5258947928</v>
      </c>
      <c r="AJ26" s="45">
        <f t="shared" ca="1" si="17"/>
        <v>1.9740159999996649</v>
      </c>
      <c r="AK26" s="464">
        <f t="shared" ref="AK26:AK28" ca="1" si="37">IF(K26="",NA(),K26)</f>
        <v>4.5637336854817914</v>
      </c>
      <c r="AL26" s="279"/>
    </row>
    <row r="27" spans="1:38" s="14" customFormat="1" ht="12" customHeight="1" x14ac:dyDescent="0.15">
      <c r="A27" s="32">
        <f t="shared" ca="1" si="0"/>
        <v>1433.9377798841197</v>
      </c>
      <c r="B27" s="32">
        <f t="shared" ca="1" si="1"/>
        <v>1578624.9571584086</v>
      </c>
      <c r="C27" s="32">
        <f t="shared" ca="1" si="2"/>
        <v>-2812.8301892110612</v>
      </c>
      <c r="D27" s="183">
        <f t="shared" ca="1" si="3"/>
        <v>-508.1899414199404</v>
      </c>
      <c r="E27" s="32">
        <f t="shared" ca="1" si="4"/>
        <v>7129177.2840516381</v>
      </c>
      <c r="F27" s="760">
        <f t="shared" ca="1" si="5"/>
        <v>1166.869778896913</v>
      </c>
      <c r="G27" s="531">
        <f t="shared" ca="1" si="6"/>
        <v>1546253.7461681119</v>
      </c>
      <c r="H27" s="532">
        <f t="shared" ca="1" si="7"/>
        <v>7057223.4767783834</v>
      </c>
      <c r="I27" s="31">
        <f t="shared" ca="1" si="8"/>
        <v>30</v>
      </c>
      <c r="J27" s="302">
        <f t="shared" ca="1" si="20"/>
        <v>4.5655790167727988</v>
      </c>
      <c r="K27" s="46">
        <f t="shared" ca="1" si="21"/>
        <v>4.5640784989316412</v>
      </c>
      <c r="L27" s="440"/>
      <c r="M27" s="441"/>
      <c r="N27" s="45">
        <f ca="1">IFERROR(IFNEG(INDIRECT(ADDRESS(MATCH(FirstLine+15,RawEntrie,0)+ROW(RawEntrie)+ROW()-20,2))-INDIRECT(ADDRESS(MATCH(1+15,RawEntrie,0)+ROW(RawEntrie)-17,2)),""),"")</f>
        <v>2.041599999999562</v>
      </c>
      <c r="O27" s="523"/>
      <c r="P27" s="524"/>
      <c r="Q27" s="56">
        <f ca="1">E26/B26</f>
        <v>4.5124724845677191</v>
      </c>
      <c r="R27" s="322">
        <f t="shared" ca="1" si="9"/>
        <v>1545745.5562266919</v>
      </c>
      <c r="S27" s="37">
        <f t="shared" ca="1" si="26"/>
        <v>4.5160677662694866</v>
      </c>
      <c r="T27" s="38">
        <f t="shared" ca="1" si="19"/>
        <v>4.5160677662694866</v>
      </c>
      <c r="U27" s="38">
        <f t="shared" ca="1" si="24"/>
        <v>4.5160677662694866</v>
      </c>
      <c r="V27" s="38">
        <f t="shared" ca="1" si="24"/>
        <v>4.5160677662694866</v>
      </c>
      <c r="W27" s="37">
        <f t="shared" ca="1" si="27"/>
        <v>4.5640784989316412</v>
      </c>
      <c r="X27" s="38">
        <f t="shared" ca="1" si="25"/>
        <v>4.5640784989316412</v>
      </c>
      <c r="Y27" s="38">
        <f t="shared" ca="1" si="25"/>
        <v>4.5640784989316412</v>
      </c>
      <c r="Z27" s="47">
        <f t="shared" ca="1" si="25"/>
        <v>4.5640784989316412</v>
      </c>
      <c r="AA27" s="511">
        <f t="shared" ca="1" si="28"/>
        <v>1</v>
      </c>
      <c r="AB27" s="503">
        <f t="shared" ca="1" si="29"/>
        <v>1433.9377798841197</v>
      </c>
      <c r="AC27" s="70">
        <f t="shared" ca="1" si="30"/>
        <v>1578624.9571584086</v>
      </c>
      <c r="AD27" s="70">
        <f t="shared" ca="1" si="31"/>
        <v>-2812.8301892110612</v>
      </c>
      <c r="AE27" s="70">
        <f t="shared" ca="1" si="32"/>
        <v>-508.1899414199404</v>
      </c>
      <c r="AF27" s="504">
        <f t="shared" ca="1" si="33"/>
        <v>7129177.2840516381</v>
      </c>
      <c r="AG27" s="507">
        <f t="shared" ca="1" si="34"/>
        <v>1166.869778896913</v>
      </c>
      <c r="AH27" s="503">
        <f t="shared" ca="1" si="35"/>
        <v>1546253.7461681119</v>
      </c>
      <c r="AI27" s="504">
        <f t="shared" ca="1" si="36"/>
        <v>7057223.4767783834</v>
      </c>
      <c r="AJ27" s="45">
        <f t="shared" ca="1" si="17"/>
        <v>2.041599999999562</v>
      </c>
      <c r="AK27" s="464">
        <f t="shared" ca="1" si="37"/>
        <v>4.5640784989316412</v>
      </c>
      <c r="AL27" s="279"/>
    </row>
    <row r="28" spans="1:38" s="14" customFormat="1" ht="12" customHeight="1" x14ac:dyDescent="0.15">
      <c r="A28" s="32">
        <f t="shared" ca="1" si="0"/>
        <v>1133.2040955557422</v>
      </c>
      <c r="B28" s="32">
        <f t="shared" ca="1" si="1"/>
        <v>1555202.0329505214</v>
      </c>
      <c r="C28" s="32">
        <f t="shared" ca="1" si="2"/>
        <v>-1168.449673814368</v>
      </c>
      <c r="D28" s="183">
        <f t="shared" ca="1" si="3"/>
        <v>80.61407348065427</v>
      </c>
      <c r="E28" s="32">
        <f t="shared" ca="1" si="4"/>
        <v>7041913.4740705919</v>
      </c>
      <c r="F28" s="760">
        <f t="shared" ca="1" si="5"/>
        <v>1190.1315888074942</v>
      </c>
      <c r="G28" s="531">
        <f t="shared" ca="1" si="6"/>
        <v>1522242.0179453241</v>
      </c>
      <c r="H28" s="532">
        <f t="shared" ca="1" si="7"/>
        <v>6969936.4049874265</v>
      </c>
      <c r="I28" s="31">
        <f t="shared" ca="1" si="8"/>
        <v>31</v>
      </c>
      <c r="J28" s="302">
        <f t="shared" ca="1" si="20"/>
        <v>4.5784883298649728</v>
      </c>
      <c r="K28" s="46">
        <f t="shared" ca="1" si="21"/>
        <v>4.5787307949856979</v>
      </c>
      <c r="L28" s="440"/>
      <c r="M28" s="441"/>
      <c r="N28" s="45">
        <f ca="1">IFERROR(IFNEG(INDIRECT(ADDRESS(MATCH(FirstLine+15,RawEntrie,0)+ROW(RawEntrie)+ROW()-20,2))-INDIRECT(ADDRESS(MATCH(1+15,RawEntrie,0)+ROW(RawEntrie)-17,2)),""),"")</f>
        <v>2.1096959999999854</v>
      </c>
      <c r="O28" s="523"/>
      <c r="P28" s="524"/>
      <c r="Q28" s="56"/>
      <c r="R28" s="322">
        <f t="shared" ca="1" si="9"/>
        <v>1522322.6320188048</v>
      </c>
      <c r="S28" s="37">
        <f t="shared" ca="1" si="26"/>
        <v>4.5279734239484686</v>
      </c>
      <c r="T28" s="38">
        <f t="shared" ca="1" si="19"/>
        <v>4.5279734239484686</v>
      </c>
      <c r="U28" s="38">
        <f t="shared" ca="1" si="24"/>
        <v>4.5279734239484686</v>
      </c>
      <c r="V28" s="38">
        <f t="shared" ca="1" si="24"/>
        <v>4.5279734239484686</v>
      </c>
      <c r="W28" s="37">
        <f t="shared" ca="1" si="27"/>
        <v>4.5787307949856979</v>
      </c>
      <c r="X28" s="38">
        <f t="shared" ca="1" si="25"/>
        <v>4.5787307949856979</v>
      </c>
      <c r="Y28" s="38">
        <f t="shared" ca="1" si="25"/>
        <v>4.5787307949856979</v>
      </c>
      <c r="Z28" s="47">
        <f t="shared" ca="1" si="25"/>
        <v>4.5787307949856979</v>
      </c>
      <c r="AA28" s="511">
        <f t="shared" ca="1" si="28"/>
        <v>1</v>
      </c>
      <c r="AB28" s="503">
        <f t="shared" ca="1" si="29"/>
        <v>1133.2040955557422</v>
      </c>
      <c r="AC28" s="70">
        <f t="shared" ca="1" si="30"/>
        <v>1555202.0329505214</v>
      </c>
      <c r="AD28" s="70">
        <f t="shared" ca="1" si="31"/>
        <v>-1168.449673814368</v>
      </c>
      <c r="AE28" s="70">
        <f t="shared" ca="1" si="32"/>
        <v>80.61407348065427</v>
      </c>
      <c r="AF28" s="504">
        <f t="shared" ca="1" si="33"/>
        <v>7041913.4740705919</v>
      </c>
      <c r="AG28" s="507">
        <f t="shared" ca="1" si="34"/>
        <v>1190.1315888074942</v>
      </c>
      <c r="AH28" s="503">
        <f t="shared" ca="1" si="35"/>
        <v>1522242.0179453241</v>
      </c>
      <c r="AI28" s="504">
        <f t="shared" ca="1" si="36"/>
        <v>6969936.4049874265</v>
      </c>
      <c r="AJ28" s="45">
        <f t="shared" ca="1" si="17"/>
        <v>2.1096959999999854</v>
      </c>
      <c r="AK28" s="464">
        <f t="shared" ca="1" si="37"/>
        <v>4.5787307949856979</v>
      </c>
      <c r="AL28" s="279"/>
    </row>
    <row r="29" spans="1:38" s="14" customFormat="1" ht="12" customHeight="1" x14ac:dyDescent="0.15">
      <c r="A29" s="32">
        <f t="shared" ca="1" si="0"/>
        <v>1595.3505959160757</v>
      </c>
      <c r="B29" s="32">
        <f t="shared" ca="1" si="1"/>
        <v>1550269.2091786223</v>
      </c>
      <c r="C29" s="32">
        <f t="shared" ca="1" si="2"/>
        <v>1790.4879670180235</v>
      </c>
      <c r="D29" s="183">
        <f t="shared" ca="1" si="3"/>
        <v>1684.590625189499</v>
      </c>
      <c r="E29" s="32">
        <f t="shared" ca="1" si="4"/>
        <v>6993684.2178022563</v>
      </c>
      <c r="F29" s="760">
        <f t="shared" ca="1" si="5"/>
        <v>172.09193257191509</v>
      </c>
      <c r="G29" s="531">
        <f t="shared" ca="1" si="6"/>
        <v>1515705.2176217162</v>
      </c>
      <c r="H29" s="532">
        <f t="shared" ca="1" si="7"/>
        <v>6922725.1883753268</v>
      </c>
      <c r="I29" s="31">
        <f t="shared" ca="1" si="8"/>
        <v>32</v>
      </c>
      <c r="J29" s="302">
        <f t="shared" ca="1" si="20"/>
        <v>4.5622589203847346</v>
      </c>
      <c r="K29" s="46">
        <f t="shared" ca="1" si="21"/>
        <v>4.5673295228459612</v>
      </c>
      <c r="L29" s="440"/>
      <c r="M29" s="441"/>
      <c r="N29" s="45">
        <f ca="1">IFERROR(IFNEG(INDIRECT(ADDRESS(MATCH(FirstLine+15,RawEntrie,0)+ROW(RawEntrie)+ROW()-20,2))-INDIRECT(ADDRESS(MATCH(1+15,RawEntrie,0)+ROW(RawEntrie)-17,2)),""),"")</f>
        <v>2.1780479999997624</v>
      </c>
      <c r="O29" s="523"/>
      <c r="P29" s="524"/>
      <c r="Q29" s="56"/>
      <c r="R29" s="322">
        <f t="shared" ca="1" si="9"/>
        <v>1517389.8082469057</v>
      </c>
      <c r="S29" s="37">
        <f t="shared" ref="S29:S35" ca="1" si="38">IFERROR(IF(E29&gt;LimitSignB11b,E29/B29,""),"")</f>
        <v>4.5112708014808041</v>
      </c>
      <c r="T29" s="38">
        <f t="shared" ca="1" si="19"/>
        <v>4.5112708014808041</v>
      </c>
      <c r="U29" s="38">
        <f t="shared" ca="1" si="24"/>
        <v>4.5112708014808041</v>
      </c>
      <c r="V29" s="38">
        <f t="shared" ca="1" si="24"/>
        <v>4.5112708014808041</v>
      </c>
      <c r="W29" s="37">
        <f t="shared" ref="W29:W35" ca="1" si="39">IFERROR(IF(E29&gt;LimitSignB11b,H29/G29,""),"")</f>
        <v>4.5673295228459612</v>
      </c>
      <c r="X29" s="38">
        <f t="shared" ca="1" si="25"/>
        <v>4.5673295228459612</v>
      </c>
      <c r="Y29" s="38">
        <f t="shared" ca="1" si="25"/>
        <v>4.5673295228459612</v>
      </c>
      <c r="Z29" s="47">
        <f t="shared" ca="1" si="25"/>
        <v>4.5673295228459612</v>
      </c>
      <c r="AA29" s="511">
        <f t="shared" ref="AA29:AA35" ca="1" si="40">IF(K29&lt;&gt;"",1,"")</f>
        <v>1</v>
      </c>
      <c r="AB29" s="503">
        <f t="shared" ref="AB29:AB35" ca="1" si="41">IF($AA29=1,A29," ")</f>
        <v>1595.3505959160757</v>
      </c>
      <c r="AC29" s="70">
        <f t="shared" ref="AC29:AC35" ca="1" si="42">IF($AA29=1,B29," ")</f>
        <v>1550269.2091786223</v>
      </c>
      <c r="AD29" s="70">
        <f t="shared" ref="AD29:AD35" ca="1" si="43">IF($AA29=1,C29," ")</f>
        <v>1790.4879670180235</v>
      </c>
      <c r="AE29" s="70">
        <f t="shared" ref="AE29:AE35" ca="1" si="44">IF($AA29=1,D29," ")</f>
        <v>1684.590625189499</v>
      </c>
      <c r="AF29" s="504">
        <f t="shared" ref="AF29:AF35" ca="1" si="45">IF($AA29=1,E29," ")</f>
        <v>6993684.2178022563</v>
      </c>
      <c r="AG29" s="507">
        <f t="shared" ref="AG29:AG35" ca="1" si="46">IF($AA29=1,F29," ")</f>
        <v>172.09193257191509</v>
      </c>
      <c r="AH29" s="503">
        <f t="shared" ref="AH29:AH35" ca="1" si="47">IF($AA29=1,G29," ")</f>
        <v>1515705.2176217162</v>
      </c>
      <c r="AI29" s="504">
        <f t="shared" ref="AI29:AI35" ca="1" si="48">IF($AA29=1,H29," ")</f>
        <v>6922725.1883753268</v>
      </c>
      <c r="AJ29" s="45">
        <f t="shared" ca="1" si="17"/>
        <v>2.1780479999997624</v>
      </c>
      <c r="AK29" s="464">
        <f t="shared" ref="AK29:AK35" ca="1" si="49">IF(K29="",NA(),K29)</f>
        <v>4.5673295228459612</v>
      </c>
      <c r="AL29" s="279"/>
    </row>
    <row r="30" spans="1:38" s="14" customFormat="1" ht="12" customHeight="1" x14ac:dyDescent="0.15">
      <c r="A30" s="32">
        <f t="shared" ca="1" si="0"/>
        <v>2481.4187218264415</v>
      </c>
      <c r="B30" s="32">
        <f t="shared" ca="1" si="1"/>
        <v>1538437.2920510257</v>
      </c>
      <c r="C30" s="32">
        <f t="shared" ca="1" si="2"/>
        <v>992.28382681987205</v>
      </c>
      <c r="D30" s="183">
        <f t="shared" ca="1" si="3"/>
        <v>1800.4090265946909</v>
      </c>
      <c r="E30" s="32">
        <f t="shared" ca="1" si="4"/>
        <v>6949814.1394206723</v>
      </c>
      <c r="F30" s="760">
        <f t="shared" ca="1" si="5"/>
        <v>746.23430436814624</v>
      </c>
      <c r="G30" s="531">
        <f t="shared" ca="1" si="6"/>
        <v>1503757.4820927144</v>
      </c>
      <c r="H30" s="532">
        <f t="shared" ca="1" si="7"/>
        <v>6878280.9676219458</v>
      </c>
      <c r="I30" s="31">
        <f t="shared" ca="1" si="8"/>
        <v>33</v>
      </c>
      <c r="J30" s="302">
        <f t="shared" ca="1" si="20"/>
        <v>4.568592817449403</v>
      </c>
      <c r="K30" s="46">
        <f t="shared" ca="1" si="21"/>
        <v>4.574062672692234</v>
      </c>
      <c r="L30" s="440"/>
      <c r="M30" s="441"/>
      <c r="N30" s="45">
        <f ca="1">IFERROR(IFNEG(INDIRECT(ADDRESS(MATCH(FirstLine+15,RawEntrie,0)+ROW(RawEntrie)+ROW()-20,2))-INDIRECT(ADDRESS(MATCH(1+15,RawEntrie,0)+ROW(RawEntrie)-17,2)),""),"")</f>
        <v>2.246143999999731</v>
      </c>
      <c r="O30" s="523"/>
      <c r="P30" s="524"/>
      <c r="Q30" s="56"/>
      <c r="R30" s="322">
        <f t="shared" ca="1" si="9"/>
        <v>1505557.891119309</v>
      </c>
      <c r="S30" s="37">
        <f t="shared" ca="1" si="38"/>
        <v>4.517450386395188</v>
      </c>
      <c r="T30" s="38">
        <f t="shared" ca="1" si="19"/>
        <v>4.517450386395188</v>
      </c>
      <c r="U30" s="38">
        <f t="shared" ca="1" si="24"/>
        <v>4.517450386395188</v>
      </c>
      <c r="V30" s="38">
        <f t="shared" ca="1" si="24"/>
        <v>4.517450386395188</v>
      </c>
      <c r="W30" s="37">
        <f t="shared" ca="1" si="39"/>
        <v>4.574062672692234</v>
      </c>
      <c r="X30" s="38">
        <f t="shared" ca="1" si="25"/>
        <v>4.574062672692234</v>
      </c>
      <c r="Y30" s="38">
        <f t="shared" ca="1" si="25"/>
        <v>4.574062672692234</v>
      </c>
      <c r="Z30" s="47">
        <f t="shared" ca="1" si="25"/>
        <v>4.574062672692234</v>
      </c>
      <c r="AA30" s="511">
        <f t="shared" ca="1" si="40"/>
        <v>1</v>
      </c>
      <c r="AB30" s="503">
        <f t="shared" ca="1" si="41"/>
        <v>2481.4187218264415</v>
      </c>
      <c r="AC30" s="70">
        <f t="shared" ca="1" si="42"/>
        <v>1538437.2920510257</v>
      </c>
      <c r="AD30" s="70">
        <f t="shared" ca="1" si="43"/>
        <v>992.28382681987205</v>
      </c>
      <c r="AE30" s="70">
        <f t="shared" ca="1" si="44"/>
        <v>1800.4090265946909</v>
      </c>
      <c r="AF30" s="504">
        <f t="shared" ca="1" si="45"/>
        <v>6949814.1394206723</v>
      </c>
      <c r="AG30" s="507">
        <f t="shared" ca="1" si="46"/>
        <v>746.23430436814624</v>
      </c>
      <c r="AH30" s="503">
        <f t="shared" ca="1" si="47"/>
        <v>1503757.4820927144</v>
      </c>
      <c r="AI30" s="504">
        <f t="shared" ca="1" si="48"/>
        <v>6878280.9676219458</v>
      </c>
      <c r="AJ30" s="45">
        <f t="shared" ca="1" si="17"/>
        <v>2.246143999999731</v>
      </c>
      <c r="AK30" s="464">
        <f t="shared" ca="1" si="49"/>
        <v>4.574062672692234</v>
      </c>
      <c r="AL30" s="279"/>
    </row>
    <row r="31" spans="1:38" s="14" customFormat="1" ht="12" customHeight="1" x14ac:dyDescent="0.15">
      <c r="A31" s="32">
        <f t="shared" ca="1" si="0"/>
        <v>729.63904278124392</v>
      </c>
      <c r="B31" s="32">
        <f t="shared" ca="1" si="1"/>
        <v>1531886.1587624089</v>
      </c>
      <c r="C31" s="32">
        <f t="shared" ca="1" si="2"/>
        <v>-729.02497937221051</v>
      </c>
      <c r="D31" s="183">
        <f t="shared" ca="1" si="3"/>
        <v>62.564256942006068</v>
      </c>
      <c r="E31" s="32">
        <f t="shared" ca="1" si="4"/>
        <v>6927364.588639061</v>
      </c>
      <c r="F31" s="760">
        <f t="shared" ca="1" si="5"/>
        <v>-2229.7933122047216</v>
      </c>
      <c r="G31" s="531">
        <f t="shared" ca="1" si="6"/>
        <v>1498944.1935737503</v>
      </c>
      <c r="H31" s="532">
        <f t="shared" ca="1" si="7"/>
        <v>6858807.4444569079</v>
      </c>
      <c r="I31" s="31">
        <f t="shared" ca="1" si="8"/>
        <v>34</v>
      </c>
      <c r="J31" s="302">
        <f t="shared" ca="1" si="20"/>
        <v>4.5755680610691334</v>
      </c>
      <c r="K31" s="46">
        <f t="shared" ca="1" si="21"/>
        <v>4.5757590401709933</v>
      </c>
      <c r="L31" s="440"/>
      <c r="M31" s="441"/>
      <c r="N31" s="45">
        <f ca="1">IFERROR(IFNEG(INDIRECT(ADDRESS(MATCH(FirstLine+15,RawEntrie,0)+ROW(RawEntrie)+ROW()-20,2))-INDIRECT(ADDRESS(MATCH(1+15,RawEntrie,0)+ROW(RawEntrie)-17,2)),""),"")</f>
        <v>2.3142399999996996</v>
      </c>
      <c r="O31" s="523"/>
      <c r="P31" s="524"/>
      <c r="Q31" s="56"/>
      <c r="R31" s="322">
        <f t="shared" ca="1" si="9"/>
        <v>1499006.7578306922</v>
      </c>
      <c r="S31" s="37">
        <f t="shared" ca="1" si="38"/>
        <v>4.5221144854755977</v>
      </c>
      <c r="T31" s="38">
        <f t="shared" ca="1" si="19"/>
        <v>4.5221144854755977</v>
      </c>
      <c r="U31" s="38">
        <f t="shared" ca="1" si="24"/>
        <v>4.5221144854755977</v>
      </c>
      <c r="V31" s="38">
        <f t="shared" ca="1" si="24"/>
        <v>4.5221144854755977</v>
      </c>
      <c r="W31" s="37">
        <f t="shared" ca="1" si="39"/>
        <v>4.5757590401709933</v>
      </c>
      <c r="X31" s="38">
        <f t="shared" ca="1" si="25"/>
        <v>4.5757590401709933</v>
      </c>
      <c r="Y31" s="38">
        <f t="shared" ca="1" si="25"/>
        <v>4.5757590401709933</v>
      </c>
      <c r="Z31" s="47">
        <f t="shared" ca="1" si="25"/>
        <v>4.5757590401709933</v>
      </c>
      <c r="AA31" s="511">
        <f t="shared" ca="1" si="40"/>
        <v>1</v>
      </c>
      <c r="AB31" s="503">
        <f t="shared" ca="1" si="41"/>
        <v>729.63904278124392</v>
      </c>
      <c r="AC31" s="70">
        <f t="shared" ca="1" si="42"/>
        <v>1531886.1587624089</v>
      </c>
      <c r="AD31" s="70">
        <f t="shared" ca="1" si="43"/>
        <v>-729.02497937221051</v>
      </c>
      <c r="AE31" s="70">
        <f t="shared" ca="1" si="44"/>
        <v>62.564256942006068</v>
      </c>
      <c r="AF31" s="504">
        <f t="shared" ca="1" si="45"/>
        <v>6927364.588639061</v>
      </c>
      <c r="AG31" s="507">
        <f t="shared" ca="1" si="46"/>
        <v>-2229.7933122047216</v>
      </c>
      <c r="AH31" s="503">
        <f t="shared" ca="1" si="47"/>
        <v>1498944.1935737503</v>
      </c>
      <c r="AI31" s="504">
        <f t="shared" ca="1" si="48"/>
        <v>6858807.4444569079</v>
      </c>
      <c r="AJ31" s="45">
        <f t="shared" ca="1" si="17"/>
        <v>2.3142399999996996</v>
      </c>
      <c r="AK31" s="464">
        <f t="shared" ca="1" si="49"/>
        <v>4.5757590401709933</v>
      </c>
      <c r="AL31" s="279"/>
    </row>
    <row r="32" spans="1:38" s="14" customFormat="1" ht="12" customHeight="1" x14ac:dyDescent="0.15">
      <c r="A32" s="32">
        <f t="shared" ca="1" si="0"/>
        <v>-1871.5954819524413</v>
      </c>
      <c r="B32" s="32">
        <f t="shared" ca="1" si="1"/>
        <v>1524669.2589769866</v>
      </c>
      <c r="C32" s="32">
        <f t="shared" ca="1" si="2"/>
        <v>-1634.59749662779</v>
      </c>
      <c r="D32" s="183">
        <f t="shared" ca="1" si="3"/>
        <v>-1763.2117980446328</v>
      </c>
      <c r="E32" s="32">
        <f t="shared" ca="1" si="4"/>
        <v>6881608.884364781</v>
      </c>
      <c r="F32" s="760">
        <f t="shared" ca="1" si="5"/>
        <v>-2770.1775334805679</v>
      </c>
      <c r="G32" s="531">
        <f t="shared" ca="1" si="6"/>
        <v>1493553.0698433146</v>
      </c>
      <c r="H32" s="532">
        <f t="shared" ca="1" si="7"/>
        <v>6813592.1244039033</v>
      </c>
      <c r="I32" s="31">
        <f t="shared" ca="1" si="8"/>
        <v>35</v>
      </c>
      <c r="J32" s="302">
        <f t="shared" ca="1" si="20"/>
        <v>4.5673940519557661</v>
      </c>
      <c r="K32" s="46">
        <f t="shared" ca="1" si="21"/>
        <v>4.5620020218757293</v>
      </c>
      <c r="L32" s="440"/>
      <c r="M32" s="441"/>
      <c r="N32" s="45">
        <f ca="1">IFERROR(IFNEG(INDIRECT(ADDRESS(MATCH(FirstLine+15,RawEntrie,0)+ROW(RawEntrie)+ROW()-20,2))-INDIRECT(ADDRESS(MATCH(1+15,RawEntrie,0)+ROW(RawEntrie)-17,2)),""),"")</f>
        <v>2.3823359999996683</v>
      </c>
      <c r="O32" s="523"/>
      <c r="P32" s="524"/>
      <c r="Q32" s="56"/>
      <c r="R32" s="322">
        <f t="shared" ca="1" si="9"/>
        <v>1491789.85804527</v>
      </c>
      <c r="S32" s="37">
        <f t="shared" ca="1" si="38"/>
        <v>4.5135093029829703</v>
      </c>
      <c r="T32" s="38">
        <f t="shared" ca="1" si="19"/>
        <v>4.5135093029829703</v>
      </c>
      <c r="U32" s="38">
        <f t="shared" ca="1" si="24"/>
        <v>4.5135093029829703</v>
      </c>
      <c r="V32" s="38">
        <f t="shared" ca="1" si="24"/>
        <v>4.5135093029829703</v>
      </c>
      <c r="W32" s="37">
        <f t="shared" ca="1" si="39"/>
        <v>4.5620020218757293</v>
      </c>
      <c r="X32" s="38">
        <f t="shared" ca="1" si="25"/>
        <v>4.5620020218757293</v>
      </c>
      <c r="Y32" s="38">
        <f t="shared" ca="1" si="25"/>
        <v>4.5620020218757293</v>
      </c>
      <c r="Z32" s="47">
        <f t="shared" ca="1" si="25"/>
        <v>4.5620020218757293</v>
      </c>
      <c r="AA32" s="511">
        <f t="shared" ca="1" si="40"/>
        <v>1</v>
      </c>
      <c r="AB32" s="503">
        <f t="shared" ca="1" si="41"/>
        <v>-1871.5954819524413</v>
      </c>
      <c r="AC32" s="70">
        <f t="shared" ca="1" si="42"/>
        <v>1524669.2589769866</v>
      </c>
      <c r="AD32" s="70">
        <f t="shared" ca="1" si="43"/>
        <v>-1634.59749662779</v>
      </c>
      <c r="AE32" s="70">
        <f t="shared" ca="1" si="44"/>
        <v>-1763.2117980446328</v>
      </c>
      <c r="AF32" s="504">
        <f t="shared" ca="1" si="45"/>
        <v>6881608.884364781</v>
      </c>
      <c r="AG32" s="507">
        <f t="shared" ca="1" si="46"/>
        <v>-2770.1775334805679</v>
      </c>
      <c r="AH32" s="503">
        <f t="shared" ca="1" si="47"/>
        <v>1493553.0698433146</v>
      </c>
      <c r="AI32" s="504">
        <f t="shared" ca="1" si="48"/>
        <v>6813592.1244039033</v>
      </c>
      <c r="AJ32" s="45">
        <f t="shared" ca="1" si="17"/>
        <v>2.3823359999996683</v>
      </c>
      <c r="AK32" s="464">
        <f t="shared" ca="1" si="49"/>
        <v>4.5620020218757293</v>
      </c>
      <c r="AL32" s="279"/>
    </row>
    <row r="33" spans="1:38" s="14" customFormat="1" ht="12" customHeight="1" x14ac:dyDescent="0.15">
      <c r="A33" s="32">
        <f t="shared" ca="1" si="0"/>
        <v>135.94320686397623</v>
      </c>
      <c r="B33" s="32">
        <f t="shared" ca="1" si="1"/>
        <v>1525163.4120565378</v>
      </c>
      <c r="C33" s="32">
        <f t="shared" ca="1" si="2"/>
        <v>-201.28005134517298</v>
      </c>
      <c r="D33" s="183">
        <f t="shared" ca="1" si="3"/>
        <v>-18.275399568624664</v>
      </c>
      <c r="E33" s="32">
        <f t="shared" ca="1" si="4"/>
        <v>6886579.3521957751</v>
      </c>
      <c r="F33" s="760">
        <f t="shared" ca="1" si="5"/>
        <v>-1233.0902731002816</v>
      </c>
      <c r="G33" s="531">
        <f t="shared" ca="1" si="6"/>
        <v>1492302.2865243899</v>
      </c>
      <c r="H33" s="532">
        <f t="shared" ca="1" si="7"/>
        <v>6817025.504974517</v>
      </c>
      <c r="I33" s="31">
        <f t="shared" ca="1" si="8"/>
        <v>36</v>
      </c>
      <c r="J33" s="302">
        <f t="shared" ca="1" si="20"/>
        <v>4.5681823661945753</v>
      </c>
      <c r="K33" s="46">
        <f t="shared" ca="1" si="21"/>
        <v>4.5681264221952933</v>
      </c>
      <c r="L33" s="440"/>
      <c r="M33" s="441"/>
      <c r="N33" s="45">
        <f ca="1">IFERROR(IFNEG(INDIRECT(ADDRESS(MATCH(FirstLine+15,RawEntrie,0)+ROW(RawEntrie)+ROW()-20,2))-INDIRECT(ADDRESS(MATCH(1+15,RawEntrie,0)+ROW(RawEntrie)-17,2)),""),"")</f>
        <v>2.4506879999994453</v>
      </c>
      <c r="O33" s="523"/>
      <c r="P33" s="524"/>
      <c r="Q33" s="56"/>
      <c r="R33" s="322">
        <f t="shared" ca="1" si="9"/>
        <v>1492284.0111248211</v>
      </c>
      <c r="S33" s="37">
        <f t="shared" ca="1" si="38"/>
        <v>4.5153058995231721</v>
      </c>
      <c r="T33" s="38">
        <f t="shared" ca="1" si="19"/>
        <v>4.5153058995231721</v>
      </c>
      <c r="U33" s="38">
        <f t="shared" ca="1" si="24"/>
        <v>4.5153058995231721</v>
      </c>
      <c r="V33" s="38">
        <f t="shared" ca="1" si="24"/>
        <v>4.5153058995231721</v>
      </c>
      <c r="W33" s="37">
        <f t="shared" ca="1" si="39"/>
        <v>4.5681264221952933</v>
      </c>
      <c r="X33" s="38">
        <f t="shared" ca="1" si="25"/>
        <v>4.5681264221952933</v>
      </c>
      <c r="Y33" s="38">
        <f t="shared" ca="1" si="25"/>
        <v>4.5681264221952933</v>
      </c>
      <c r="Z33" s="47">
        <f t="shared" ca="1" si="25"/>
        <v>4.5681264221952933</v>
      </c>
      <c r="AA33" s="511">
        <f t="shared" ca="1" si="40"/>
        <v>1</v>
      </c>
      <c r="AB33" s="503">
        <f t="shared" ca="1" si="41"/>
        <v>135.94320686397623</v>
      </c>
      <c r="AC33" s="70">
        <f t="shared" ca="1" si="42"/>
        <v>1525163.4120565378</v>
      </c>
      <c r="AD33" s="70">
        <f t="shared" ca="1" si="43"/>
        <v>-201.28005134517298</v>
      </c>
      <c r="AE33" s="70">
        <f t="shared" ca="1" si="44"/>
        <v>-18.275399568624664</v>
      </c>
      <c r="AF33" s="504">
        <f t="shared" ca="1" si="45"/>
        <v>6886579.3521957751</v>
      </c>
      <c r="AG33" s="507">
        <f t="shared" ca="1" si="46"/>
        <v>-1233.0902731002816</v>
      </c>
      <c r="AH33" s="503">
        <f t="shared" ca="1" si="47"/>
        <v>1492302.2865243899</v>
      </c>
      <c r="AI33" s="504">
        <f t="shared" ca="1" si="48"/>
        <v>6817025.504974517</v>
      </c>
      <c r="AJ33" s="45">
        <f t="shared" ca="1" si="17"/>
        <v>2.4506879999994453</v>
      </c>
      <c r="AK33" s="464">
        <f t="shared" ca="1" si="49"/>
        <v>4.5681264221952933</v>
      </c>
      <c r="AL33" s="279"/>
    </row>
    <row r="34" spans="1:38" s="14" customFormat="1" ht="12" customHeight="1" x14ac:dyDescent="0.15">
      <c r="A34" s="32">
        <f t="shared" ca="1" si="0"/>
        <v>3406.8910529366913</v>
      </c>
      <c r="B34" s="32">
        <f t="shared" ca="1" si="1"/>
        <v>1536541.2876800501</v>
      </c>
      <c r="C34" s="32">
        <f t="shared" ca="1" si="2"/>
        <v>482.62772457822939</v>
      </c>
      <c r="D34" s="183">
        <f t="shared" ca="1" si="3"/>
        <v>2069.569844024993</v>
      </c>
      <c r="E34" s="32">
        <f t="shared" ca="1" si="4"/>
        <v>6952954.178998963</v>
      </c>
      <c r="F34" s="760">
        <f t="shared" ca="1" si="5"/>
        <v>2101.0525757539472</v>
      </c>
      <c r="G34" s="531">
        <f t="shared" ca="1" si="6"/>
        <v>1501592.3169043085</v>
      </c>
      <c r="H34" s="532">
        <f t="shared" ca="1" si="7"/>
        <v>6880066.1889288509</v>
      </c>
      <c r="I34" s="31">
        <f t="shared" ca="1" si="8"/>
        <v>37</v>
      </c>
      <c r="J34" s="302">
        <f t="shared" ca="1" si="20"/>
        <v>4.5755407180047527</v>
      </c>
      <c r="K34" s="46">
        <f t="shared" ca="1" si="21"/>
        <v>4.5818469577100895</v>
      </c>
      <c r="L34" s="440"/>
      <c r="M34" s="441"/>
      <c r="N34" s="45">
        <f ca="1">IFERROR(IFNEG(INDIRECT(ADDRESS(MATCH(FirstLine+15,RawEntrie,0)+ROW(RawEntrie)+ROW()-20,2))-INDIRECT(ADDRESS(MATCH(1+15,RawEntrie,0)+ROW(RawEntrie)-17,2)),""),"")</f>
        <v>2.5187839999998687</v>
      </c>
      <c r="O34" s="523"/>
      <c r="P34" s="524"/>
      <c r="Q34" s="56"/>
      <c r="R34" s="322">
        <f t="shared" ca="1" si="9"/>
        <v>1503661.8867483335</v>
      </c>
      <c r="S34" s="37">
        <f t="shared" ca="1" si="38"/>
        <v>4.5250682391339412</v>
      </c>
      <c r="T34" s="38">
        <f t="shared" ca="1" si="19"/>
        <v>4.5250682391339412</v>
      </c>
      <c r="U34" s="38">
        <f t="shared" ca="1" si="24"/>
        <v>4.5250682391339412</v>
      </c>
      <c r="V34" s="38">
        <f t="shared" ca="1" si="24"/>
        <v>4.5250682391339412</v>
      </c>
      <c r="W34" s="37">
        <f t="shared" ca="1" si="39"/>
        <v>4.5818469577100895</v>
      </c>
      <c r="X34" s="38">
        <f t="shared" ca="1" si="25"/>
        <v>4.5818469577100895</v>
      </c>
      <c r="Y34" s="38">
        <f t="shared" ca="1" si="25"/>
        <v>4.5818469577100895</v>
      </c>
      <c r="Z34" s="47">
        <f t="shared" ca="1" si="25"/>
        <v>4.5818469577100895</v>
      </c>
      <c r="AA34" s="511">
        <f t="shared" ca="1" si="40"/>
        <v>1</v>
      </c>
      <c r="AB34" s="503">
        <f t="shared" ca="1" si="41"/>
        <v>3406.8910529366913</v>
      </c>
      <c r="AC34" s="70">
        <f t="shared" ca="1" si="42"/>
        <v>1536541.2876800501</v>
      </c>
      <c r="AD34" s="70">
        <f t="shared" ca="1" si="43"/>
        <v>482.62772457822939</v>
      </c>
      <c r="AE34" s="70">
        <f t="shared" ca="1" si="44"/>
        <v>2069.569844024993</v>
      </c>
      <c r="AF34" s="504">
        <f t="shared" ca="1" si="45"/>
        <v>6952954.178998963</v>
      </c>
      <c r="AG34" s="507">
        <f t="shared" ca="1" si="46"/>
        <v>2101.0525757539472</v>
      </c>
      <c r="AH34" s="503">
        <f t="shared" ca="1" si="47"/>
        <v>1501592.3169043085</v>
      </c>
      <c r="AI34" s="504">
        <f t="shared" ca="1" si="48"/>
        <v>6880066.1889288509</v>
      </c>
      <c r="AJ34" s="45">
        <f t="shared" ca="1" si="17"/>
        <v>2.5187839999998687</v>
      </c>
      <c r="AK34" s="464">
        <f t="shared" ca="1" si="49"/>
        <v>4.5818469577100895</v>
      </c>
      <c r="AL34" s="279"/>
    </row>
    <row r="35" spans="1:38" s="14" customFormat="1" ht="12" customHeight="1" x14ac:dyDescent="0.15">
      <c r="A35" s="32">
        <f t="shared" ref="A35:A66" ca="1" si="50">IFERROR(INDIRECT(ADDRESS(MATCH(FirstLine+15,RawEntrie,0)+ROW(RawEntrie)+ROW()-20,3)),"")-$P$9</f>
        <v>1279.9059298934408</v>
      </c>
      <c r="B35" s="32">
        <f t="shared" ref="B35:B66" ca="1" si="51">IFERROR(INDIRECT(ADDRESS(MATCH(FirstLine+15,RawEntrie,0)+ROW(RawEntrie)+ROW()-20,4)),"")</f>
        <v>1546648.6684961831</v>
      </c>
      <c r="C35" s="32">
        <f t="shared" ref="C35:C66" ca="1" si="52">IFERROR(INDIRECT(ADDRESS(MATCH(FirstLine+15,RawEntrie,0)+ROW(RawEntrie)+ROW()-20,5)),"")-$P$11</f>
        <v>1373.6922521522065</v>
      </c>
      <c r="D35" s="183">
        <f t="shared" ref="D35:D66" ca="1" si="53">IFERROR(((_10Bmass-$P$2)*(($A35)-($C35))/($P$2-$P$4)+$A35),"")</f>
        <v>1322.7961978957005</v>
      </c>
      <c r="E35" s="32">
        <f t="shared" ref="E35:E66" ca="1" si="54">IFERROR(INDIRECT(ADDRESS(MATCH(FirstLine+15,RawEntrie,0)+ROW(RawEntrie)+ROW()-20,7)),"")</f>
        <v>7001421.0620266227</v>
      </c>
      <c r="F35" s="760">
        <f t="shared" ref="F35:F66" ca="1" si="55">IFERROR(INDIRECT(ADDRESS(MATCH(FirstLine+15,RawEntrie,0)+ROW(RawEntrie)+ROW()-20,19)),"")</f>
        <v>3063.9685408604191</v>
      </c>
      <c r="G35" s="531">
        <f t="shared" ref="G35:G66" ca="1" si="56">IFERROR(_10B-$P$10-_10Bbul,"")</f>
        <v>1512446.4713665708</v>
      </c>
      <c r="H35" s="532">
        <f t="shared" ref="H35:H66" ca="1" si="57">IFERROR(_11B-$P$13-_11Bbul,"")</f>
        <v>6927570.1559914043</v>
      </c>
      <c r="I35" s="31">
        <f t="shared" ref="I35:I66" ca="1" si="58">IFERROR(INDIRECT(ADDRESS(MATCH(FirstLine+15,RawEntrie,0)+ROW(RawEntrie)+ROW()-20,1)),"")</f>
        <v>38</v>
      </c>
      <c r="J35" s="302">
        <f t="shared" ca="1" si="20"/>
        <v>4.5763712505125103</v>
      </c>
      <c r="K35" s="46">
        <f t="shared" ca="1" si="21"/>
        <v>4.580373776621661</v>
      </c>
      <c r="L35" s="440"/>
      <c r="M35" s="441"/>
      <c r="N35" s="45">
        <f ca="1">IFERROR(IFNEG(INDIRECT(ADDRESS(MATCH(FirstLine+15,RawEntrie,0)+ROW(RawEntrie)+ROW()-20,2))-INDIRECT(ADDRESS(MATCH(1+15,RawEntrie,0)+ROW(RawEntrie)-17,2)),""),"")</f>
        <v>2.5868799999998373</v>
      </c>
      <c r="O35" s="523"/>
      <c r="P35" s="524"/>
      <c r="Q35" s="56"/>
      <c r="R35" s="322">
        <f t="shared" ca="1" si="9"/>
        <v>1513769.2675644665</v>
      </c>
      <c r="S35" s="37">
        <f t="shared" ca="1" si="38"/>
        <v>4.5268335366907539</v>
      </c>
      <c r="T35" s="38">
        <f t="shared" ca="1" si="19"/>
        <v>4.5268335366907539</v>
      </c>
      <c r="U35" s="38">
        <f t="shared" ca="1" si="24"/>
        <v>4.5268335366907539</v>
      </c>
      <c r="V35" s="38">
        <f t="shared" ca="1" si="24"/>
        <v>4.5268335366907539</v>
      </c>
      <c r="W35" s="37">
        <f t="shared" ca="1" si="39"/>
        <v>4.580373776621661</v>
      </c>
      <c r="X35" s="38">
        <f t="shared" ca="1" si="25"/>
        <v>4.580373776621661</v>
      </c>
      <c r="Y35" s="38">
        <f t="shared" ca="1" si="25"/>
        <v>4.580373776621661</v>
      </c>
      <c r="Z35" s="47">
        <f t="shared" ca="1" si="25"/>
        <v>4.580373776621661</v>
      </c>
      <c r="AA35" s="511">
        <f t="shared" ca="1" si="40"/>
        <v>1</v>
      </c>
      <c r="AB35" s="503">
        <f t="shared" ca="1" si="41"/>
        <v>1279.9059298934408</v>
      </c>
      <c r="AC35" s="70">
        <f t="shared" ca="1" si="42"/>
        <v>1546648.6684961831</v>
      </c>
      <c r="AD35" s="70">
        <f t="shared" ca="1" si="43"/>
        <v>1373.6922521522065</v>
      </c>
      <c r="AE35" s="70">
        <f t="shared" ca="1" si="44"/>
        <v>1322.7961978957005</v>
      </c>
      <c r="AF35" s="504">
        <f t="shared" ca="1" si="45"/>
        <v>7001421.0620266227</v>
      </c>
      <c r="AG35" s="507">
        <f t="shared" ca="1" si="46"/>
        <v>3063.9685408604191</v>
      </c>
      <c r="AH35" s="503">
        <f t="shared" ca="1" si="47"/>
        <v>1512446.4713665708</v>
      </c>
      <c r="AI35" s="504">
        <f t="shared" ca="1" si="48"/>
        <v>6927570.1559914043</v>
      </c>
      <c r="AJ35" s="45">
        <f t="shared" ca="1" si="17"/>
        <v>2.5868799999998373</v>
      </c>
      <c r="AK35" s="464">
        <f t="shared" ca="1" si="49"/>
        <v>4.580373776621661</v>
      </c>
      <c r="AL35" s="279"/>
    </row>
    <row r="36" spans="1:38" s="14" customFormat="1" ht="12" customHeight="1" x14ac:dyDescent="0.15">
      <c r="A36" s="32">
        <f t="shared" ca="1" si="50"/>
        <v>-1932.1683563978913</v>
      </c>
      <c r="B36" s="32">
        <f t="shared" ca="1" si="51"/>
        <v>1550124.6893844754</v>
      </c>
      <c r="C36" s="32">
        <f t="shared" ca="1" si="52"/>
        <v>-842.27143881088341</v>
      </c>
      <c r="D36" s="183">
        <f t="shared" ca="1" si="53"/>
        <v>-1433.7377775639447</v>
      </c>
      <c r="E36" s="32">
        <f t="shared" ca="1" si="54"/>
        <v>6994790.5378353596</v>
      </c>
      <c r="F36" s="760">
        <f t="shared" ca="1" si="55"/>
        <v>1893.2802816869671</v>
      </c>
      <c r="G36" s="531">
        <f t="shared" ca="1" si="56"/>
        <v>1518679.0262303227</v>
      </c>
      <c r="H36" s="532">
        <f t="shared" ca="1" si="57"/>
        <v>6922110.3200593144</v>
      </c>
      <c r="I36" s="31">
        <f t="shared" ca="1" si="58"/>
        <v>39</v>
      </c>
      <c r="J36" s="302">
        <f t="shared" ca="1" si="20"/>
        <v>4.5622882290300435</v>
      </c>
      <c r="K36" s="46"/>
      <c r="L36" s="440"/>
      <c r="M36" s="441"/>
      <c r="N36" s="45">
        <f ca="1">IFERROR(IFNEG(INDIRECT(ADDRESS(MATCH(FirstLine+15,RawEntrie,0)+ROW(RawEntrie)+ROW()-20,2))-INDIRECT(ADDRESS(MATCH(1+15,RawEntrie,0)+ROW(RawEntrie)-17,2)),""),"")</f>
        <v>2.6547199999995428</v>
      </c>
      <c r="O36" s="523"/>
      <c r="P36" s="524"/>
      <c r="Q36" s="56"/>
      <c r="R36" s="322">
        <f t="shared" ca="1" si="9"/>
        <v>1517245.2884527587</v>
      </c>
      <c r="S36" s="37">
        <f t="shared" ref="S36:S52" ca="1" si="59">IFERROR(IF(E36&gt;LimitSignB11b,E36/B36,""),"")</f>
        <v>4.5124050895627343</v>
      </c>
      <c r="T36" s="38">
        <f t="shared" ref="T36:T67" ca="1" si="60">IF(S36&gt;S$104,"",IF(S36&lt;S$105,"",S36))</f>
        <v>4.5124050895627343</v>
      </c>
      <c r="U36" s="38">
        <f t="shared" ca="1" si="24"/>
        <v>4.5124050895627343</v>
      </c>
      <c r="V36" s="38">
        <f t="shared" ca="1" si="24"/>
        <v>4.5124050895627343</v>
      </c>
      <c r="W36" s="37">
        <f t="shared" ref="W36:W52" ca="1" si="61">IFERROR(IF(E36&gt;LimitSignB11b,H36/G36,""),"")</f>
        <v>4.5579811141801523</v>
      </c>
      <c r="X36" s="38">
        <f t="shared" ca="1" si="25"/>
        <v>4.5579811141801523</v>
      </c>
      <c r="Y36" s="38">
        <f t="shared" ca="1" si="25"/>
        <v>4.5579811141801523</v>
      </c>
      <c r="Z36" s="47" t="str">
        <f t="shared" ca="1" si="25"/>
        <v/>
      </c>
      <c r="AA36" s="511" t="str">
        <f t="shared" ref="AA36:AA52" si="62">IF(K36&lt;&gt;"",1,"")</f>
        <v/>
      </c>
      <c r="AB36" s="503" t="str">
        <f t="shared" ref="AB36:AB52" si="63">IF($AA36=1,A36," ")</f>
        <v xml:space="preserve"> </v>
      </c>
      <c r="AC36" s="70" t="str">
        <f t="shared" ref="AC36:AC52" si="64">IF($AA36=1,B36," ")</f>
        <v xml:space="preserve"> </v>
      </c>
      <c r="AD36" s="70" t="str">
        <f t="shared" ref="AD36:AD52" si="65">IF($AA36=1,C36," ")</f>
        <v xml:space="preserve"> </v>
      </c>
      <c r="AE36" s="70" t="str">
        <f t="shared" ref="AE36:AE52" si="66">IF($AA36=1,D36," ")</f>
        <v xml:space="preserve"> </v>
      </c>
      <c r="AF36" s="504" t="str">
        <f t="shared" ref="AF36:AF52" si="67">IF($AA36=1,E36," ")</f>
        <v xml:space="preserve"> </v>
      </c>
      <c r="AG36" s="507" t="str">
        <f t="shared" ref="AG36:AG52" si="68">IF($AA36=1,F36," ")</f>
        <v xml:space="preserve"> </v>
      </c>
      <c r="AH36" s="503" t="str">
        <f t="shared" ref="AH36:AH52" si="69">IF($AA36=1,G36," ")</f>
        <v xml:space="preserve"> </v>
      </c>
      <c r="AI36" s="504" t="str">
        <f t="shared" ref="AI36:AI52" si="70">IF($AA36=1,H36," ")</f>
        <v xml:space="preserve"> </v>
      </c>
      <c r="AJ36" s="45">
        <f t="shared" ca="1" si="17"/>
        <v>2.6547199999995428</v>
      </c>
      <c r="AK36" s="464" t="e">
        <f t="shared" ref="AK36:AK52" si="71">IF(K36="",NA(),K36)</f>
        <v>#N/A</v>
      </c>
      <c r="AL36" s="279"/>
    </row>
    <row r="37" spans="1:38" s="14" customFormat="1" ht="12" customHeight="1" x14ac:dyDescent="0.15">
      <c r="A37" s="32">
        <f t="shared" ca="1" si="50"/>
        <v>169.8493561577634</v>
      </c>
      <c r="B37" s="32">
        <f t="shared" ca="1" si="51"/>
        <v>1534131.0825645353</v>
      </c>
      <c r="C37" s="32">
        <f t="shared" ca="1" si="52"/>
        <v>302.82302471164439</v>
      </c>
      <c r="D37" s="183">
        <f t="shared" ca="1" si="53"/>
        <v>230.66074255357196</v>
      </c>
      <c r="E37" s="32">
        <f t="shared" ca="1" si="54"/>
        <v>6920599.3346318407</v>
      </c>
      <c r="F37" s="760">
        <f t="shared" ca="1" si="55"/>
        <v>-547.06031011281812</v>
      </c>
      <c r="G37" s="531">
        <f t="shared" ca="1" si="56"/>
        <v>1501021.020890265</v>
      </c>
      <c r="H37" s="532">
        <f t="shared" ca="1" si="57"/>
        <v>6850359.4574475959</v>
      </c>
      <c r="I37" s="31">
        <f t="shared" ca="1" si="58"/>
        <v>40</v>
      </c>
      <c r="J37" s="302">
        <f t="shared" ca="1" si="20"/>
        <v>4.5630986071548536</v>
      </c>
      <c r="K37" s="46">
        <f t="shared" ref="K37:K42" ca="1" si="72">IFERROR((_11Bback)/(_10Bback),"")</f>
        <v>4.5637998149983297</v>
      </c>
      <c r="L37" s="440"/>
      <c r="M37" s="441"/>
      <c r="N37" s="45">
        <f ca="1">IFERROR(IFNEG(INDIRECT(ADDRESS(MATCH(FirstLine+15,RawEntrie,0)+ROW(RawEntrie)+ROW()-20,2))-INDIRECT(ADDRESS(MATCH(1+15,RawEntrie,0)+ROW(RawEntrie)-17,2)),""),"")</f>
        <v>2.7228159999995114</v>
      </c>
      <c r="O37" s="523"/>
      <c r="P37" s="524"/>
      <c r="Q37" s="56"/>
      <c r="R37" s="322">
        <f t="shared" ca="1" si="9"/>
        <v>1501251.6816328187</v>
      </c>
      <c r="S37" s="37">
        <f t="shared" ca="1" si="59"/>
        <v>4.5110873596687693</v>
      </c>
      <c r="T37" s="38">
        <f t="shared" ca="1" si="60"/>
        <v>4.5110873596687693</v>
      </c>
      <c r="U37" s="38">
        <f t="shared" ca="1" si="24"/>
        <v>4.5110873596687693</v>
      </c>
      <c r="V37" s="38">
        <f t="shared" ca="1" si="24"/>
        <v>4.5110873596687693</v>
      </c>
      <c r="W37" s="37">
        <f t="shared" ca="1" si="61"/>
        <v>4.5637998149983297</v>
      </c>
      <c r="X37" s="38">
        <f t="shared" ca="1" si="25"/>
        <v>4.5637998149983297</v>
      </c>
      <c r="Y37" s="38">
        <f t="shared" ca="1" si="25"/>
        <v>4.5637998149983297</v>
      </c>
      <c r="Z37" s="47">
        <f t="shared" ca="1" si="25"/>
        <v>4.5637998149983297</v>
      </c>
      <c r="AA37" s="511">
        <f t="shared" ca="1" si="62"/>
        <v>1</v>
      </c>
      <c r="AB37" s="503">
        <f t="shared" ca="1" si="63"/>
        <v>169.8493561577634</v>
      </c>
      <c r="AC37" s="70">
        <f t="shared" ca="1" si="64"/>
        <v>1534131.0825645353</v>
      </c>
      <c r="AD37" s="70">
        <f t="shared" ca="1" si="65"/>
        <v>302.82302471164439</v>
      </c>
      <c r="AE37" s="70">
        <f t="shared" ca="1" si="66"/>
        <v>230.66074255357196</v>
      </c>
      <c r="AF37" s="504">
        <f t="shared" ca="1" si="67"/>
        <v>6920599.3346318407</v>
      </c>
      <c r="AG37" s="507">
        <f t="shared" ca="1" si="68"/>
        <v>-547.06031011281812</v>
      </c>
      <c r="AH37" s="503">
        <f t="shared" ca="1" si="69"/>
        <v>1501021.020890265</v>
      </c>
      <c r="AI37" s="504">
        <f t="shared" ca="1" si="70"/>
        <v>6850359.4574475959</v>
      </c>
      <c r="AJ37" s="45">
        <f t="shared" ca="1" si="17"/>
        <v>2.7228159999995114</v>
      </c>
      <c r="AK37" s="464">
        <f t="shared" ca="1" si="71"/>
        <v>4.5637998149983297</v>
      </c>
      <c r="AL37" s="279"/>
    </row>
    <row r="38" spans="1:38" s="14" customFormat="1" ht="12" customHeight="1" x14ac:dyDescent="0.15">
      <c r="A38" s="32">
        <f t="shared" ca="1" si="50"/>
        <v>411.65679127725889</v>
      </c>
      <c r="B38" s="32">
        <f t="shared" ca="1" si="51"/>
        <v>1517666.1894943223</v>
      </c>
      <c r="C38" s="32">
        <f t="shared" ca="1" si="52"/>
        <v>2188.0166315750903</v>
      </c>
      <c r="D38" s="183">
        <f t="shared" ca="1" si="53"/>
        <v>1224.0199140001405</v>
      </c>
      <c r="E38" s="32">
        <f t="shared" ca="1" si="54"/>
        <v>6855955.631680958</v>
      </c>
      <c r="F38" s="760">
        <f t="shared" ca="1" si="55"/>
        <v>-2013.8660461547865</v>
      </c>
      <c r="G38" s="531">
        <f t="shared" ca="1" si="56"/>
        <v>1483562.7686486056</v>
      </c>
      <c r="H38" s="532">
        <f t="shared" ca="1" si="57"/>
        <v>6787182.5602327548</v>
      </c>
      <c r="I38" s="31">
        <f t="shared" ca="1" si="58"/>
        <v>41</v>
      </c>
      <c r="J38" s="302">
        <f t="shared" ca="1" si="20"/>
        <v>4.5711496172479418</v>
      </c>
      <c r="K38" s="46">
        <f t="shared" ca="1" si="72"/>
        <v>4.5749210641186941</v>
      </c>
      <c r="L38" s="440"/>
      <c r="M38" s="441"/>
      <c r="N38" s="45">
        <f ca="1">IFERROR(IFNEG(INDIRECT(ADDRESS(MATCH(FirstLine+15,RawEntrie,0)+ROW(RawEntrie)+ROW()-20,2))-INDIRECT(ADDRESS(MATCH(1+15,RawEntrie,0)+ROW(RawEntrie)-17,2)),""),"")</f>
        <v>2.7911679999992884</v>
      </c>
      <c r="O38" s="523"/>
      <c r="P38" s="524"/>
      <c r="Q38" s="56"/>
      <c r="R38" s="322">
        <f t="shared" ref="R38:R69" ca="1" si="73">IFERROR(_10B-$P$10,"")</f>
        <v>1484786.7885626056</v>
      </c>
      <c r="S38" s="37">
        <f t="shared" ca="1" si="59"/>
        <v>4.5174332004887869</v>
      </c>
      <c r="T38" s="38">
        <f t="shared" ca="1" si="60"/>
        <v>4.5174332004887869</v>
      </c>
      <c r="U38" s="38">
        <f t="shared" ca="1" si="24"/>
        <v>4.5174332004887869</v>
      </c>
      <c r="V38" s="38">
        <f t="shared" ca="1" si="24"/>
        <v>4.5174332004887869</v>
      </c>
      <c r="W38" s="37">
        <f t="shared" ca="1" si="61"/>
        <v>4.5749210641186941</v>
      </c>
      <c r="X38" s="38">
        <f t="shared" ca="1" si="25"/>
        <v>4.5749210641186941</v>
      </c>
      <c r="Y38" s="38">
        <f t="shared" ca="1" si="25"/>
        <v>4.5749210641186941</v>
      </c>
      <c r="Z38" s="47">
        <f t="shared" ca="1" si="25"/>
        <v>4.5749210641186941</v>
      </c>
      <c r="AA38" s="511">
        <f t="shared" ca="1" si="62"/>
        <v>1</v>
      </c>
      <c r="AB38" s="503">
        <f t="shared" ca="1" si="63"/>
        <v>411.65679127725889</v>
      </c>
      <c r="AC38" s="70">
        <f t="shared" ca="1" si="64"/>
        <v>1517666.1894943223</v>
      </c>
      <c r="AD38" s="70">
        <f t="shared" ca="1" si="65"/>
        <v>2188.0166315750903</v>
      </c>
      <c r="AE38" s="70">
        <f t="shared" ca="1" si="66"/>
        <v>1224.0199140001405</v>
      </c>
      <c r="AF38" s="504">
        <f t="shared" ca="1" si="67"/>
        <v>6855955.631680958</v>
      </c>
      <c r="AG38" s="507">
        <f t="shared" ca="1" si="68"/>
        <v>-2013.8660461547865</v>
      </c>
      <c r="AH38" s="503">
        <f t="shared" ca="1" si="69"/>
        <v>1483562.7686486056</v>
      </c>
      <c r="AI38" s="504">
        <f t="shared" ca="1" si="70"/>
        <v>6787182.5602327548</v>
      </c>
      <c r="AJ38" s="45">
        <f t="shared" ca="1" si="17"/>
        <v>2.7911679999992884</v>
      </c>
      <c r="AK38" s="464">
        <f t="shared" ca="1" si="71"/>
        <v>4.5749210641186941</v>
      </c>
      <c r="AL38" s="279"/>
    </row>
    <row r="39" spans="1:38" s="14" customFormat="1" ht="12" customHeight="1" x14ac:dyDescent="0.15">
      <c r="A39" s="32">
        <f t="shared" ca="1" si="50"/>
        <v>18.770602683991456</v>
      </c>
      <c r="B39" s="32">
        <f t="shared" ca="1" si="51"/>
        <v>1501275.0309847991</v>
      </c>
      <c r="C39" s="32">
        <f t="shared" ca="1" si="52"/>
        <v>1588.3960658081342</v>
      </c>
      <c r="D39" s="183">
        <f t="shared" ca="1" si="53"/>
        <v>736.59016480327955</v>
      </c>
      <c r="E39" s="32">
        <f t="shared" ca="1" si="54"/>
        <v>6773008.1651609521</v>
      </c>
      <c r="F39" s="760">
        <f t="shared" ca="1" si="55"/>
        <v>105.67572247738735</v>
      </c>
      <c r="G39" s="531">
        <f t="shared" ca="1" si="56"/>
        <v>1467659.0398882793</v>
      </c>
      <c r="H39" s="532">
        <f t="shared" ca="1" si="57"/>
        <v>6702115.5519441171</v>
      </c>
      <c r="I39" s="31">
        <f t="shared" ca="1" si="58"/>
        <v>42</v>
      </c>
      <c r="J39" s="302">
        <f t="shared" ca="1" si="20"/>
        <v>4.5642437329385377</v>
      </c>
      <c r="K39" s="46">
        <f t="shared" ca="1" si="72"/>
        <v>4.566534440079689</v>
      </c>
      <c r="L39" s="440"/>
      <c r="M39" s="441"/>
      <c r="N39" s="45">
        <f ca="1">IFERROR(IFNEG(INDIRECT(ADDRESS(MATCH(FirstLine+15,RawEntrie,0)+ROW(RawEntrie)+ROW()-20,2))-INDIRECT(ADDRESS(MATCH(1+15,RawEntrie,0)+ROW(RawEntrie)-17,2)),""),"")</f>
        <v>2.8592639999997118</v>
      </c>
      <c r="O39" s="523"/>
      <c r="P39" s="524"/>
      <c r="Q39" s="56"/>
      <c r="R39" s="322">
        <f t="shared" ca="1" si="73"/>
        <v>1468395.6300530825</v>
      </c>
      <c r="S39" s="37">
        <f t="shared" ca="1" si="59"/>
        <v>4.511503905262467</v>
      </c>
      <c r="T39" s="38">
        <f t="shared" ca="1" si="60"/>
        <v>4.511503905262467</v>
      </c>
      <c r="U39" s="38">
        <f t="shared" ca="1" si="24"/>
        <v>4.511503905262467</v>
      </c>
      <c r="V39" s="38">
        <f t="shared" ca="1" si="24"/>
        <v>4.511503905262467</v>
      </c>
      <c r="W39" s="37">
        <f t="shared" ca="1" si="61"/>
        <v>4.566534440079689</v>
      </c>
      <c r="X39" s="38">
        <f t="shared" ca="1" si="25"/>
        <v>4.566534440079689</v>
      </c>
      <c r="Y39" s="38">
        <f t="shared" ca="1" si="25"/>
        <v>4.566534440079689</v>
      </c>
      <c r="Z39" s="47">
        <f t="shared" ca="1" si="25"/>
        <v>4.566534440079689</v>
      </c>
      <c r="AA39" s="511">
        <f t="shared" ca="1" si="62"/>
        <v>1</v>
      </c>
      <c r="AB39" s="503">
        <f t="shared" ca="1" si="63"/>
        <v>18.770602683991456</v>
      </c>
      <c r="AC39" s="70">
        <f t="shared" ca="1" si="64"/>
        <v>1501275.0309847991</v>
      </c>
      <c r="AD39" s="70">
        <f t="shared" ca="1" si="65"/>
        <v>1588.3960658081342</v>
      </c>
      <c r="AE39" s="70">
        <f t="shared" ca="1" si="66"/>
        <v>736.59016480327955</v>
      </c>
      <c r="AF39" s="504">
        <f t="shared" ca="1" si="67"/>
        <v>6773008.1651609521</v>
      </c>
      <c r="AG39" s="507">
        <f t="shared" ca="1" si="68"/>
        <v>105.67572247738735</v>
      </c>
      <c r="AH39" s="503">
        <f t="shared" ca="1" si="69"/>
        <v>1467659.0398882793</v>
      </c>
      <c r="AI39" s="504">
        <f t="shared" ca="1" si="70"/>
        <v>6702115.5519441171</v>
      </c>
      <c r="AJ39" s="45">
        <f t="shared" ca="1" si="17"/>
        <v>2.8592639999997118</v>
      </c>
      <c r="AK39" s="464">
        <f t="shared" ca="1" si="71"/>
        <v>4.566534440079689</v>
      </c>
      <c r="AL39" s="279"/>
    </row>
    <row r="40" spans="1:38" s="14" customFormat="1" ht="12" customHeight="1" x14ac:dyDescent="0.15">
      <c r="A40" s="32">
        <f t="shared" ca="1" si="50"/>
        <v>4841.1984213747382</v>
      </c>
      <c r="B40" s="32">
        <f t="shared" ca="1" si="51"/>
        <v>1477375.2868239018</v>
      </c>
      <c r="C40" s="32">
        <f t="shared" ca="1" si="52"/>
        <v>-1678.06459010857</v>
      </c>
      <c r="D40" s="183">
        <f t="shared" ca="1" si="53"/>
        <v>1859.8155181379661</v>
      </c>
      <c r="E40" s="32">
        <f t="shared" ca="1" si="54"/>
        <v>6674163.0521730529</v>
      </c>
      <c r="F40" s="760">
        <f t="shared" ca="1" si="55"/>
        <v>3035.1776218524237</v>
      </c>
      <c r="G40" s="531">
        <f t="shared" ca="1" si="56"/>
        <v>1442636.0703740472</v>
      </c>
      <c r="H40" s="532">
        <f t="shared" ca="1" si="57"/>
        <v>6600340.9370568423</v>
      </c>
      <c r="I40" s="31">
        <f t="shared" ca="1" si="58"/>
        <v>43</v>
      </c>
      <c r="J40" s="302">
        <f t="shared" ca="1" si="20"/>
        <v>4.5693040745354407</v>
      </c>
      <c r="K40" s="46">
        <f t="shared" ca="1" si="72"/>
        <v>4.5751947234658452</v>
      </c>
      <c r="L40" s="440"/>
      <c r="M40" s="441"/>
      <c r="N40" s="45">
        <f ca="1">IFERROR(IFNEG(INDIRECT(ADDRESS(MATCH(FirstLine+15,RawEntrie,0)+ROW(RawEntrie)+ROW()-20,2))-INDIRECT(ADDRESS(MATCH(1+15,RawEntrie,0)+ROW(RawEntrie)-17,2)),""),"")</f>
        <v>2.9273599999996804</v>
      </c>
      <c r="O40" s="523"/>
      <c r="P40" s="524"/>
      <c r="Q40" s="56"/>
      <c r="R40" s="322">
        <f t="shared" ca="1" si="73"/>
        <v>1444495.8858921851</v>
      </c>
      <c r="S40" s="37">
        <f t="shared" ca="1" si="59"/>
        <v>4.5175813564076428</v>
      </c>
      <c r="T40" s="38">
        <f t="shared" ca="1" si="60"/>
        <v>4.5175813564076428</v>
      </c>
      <c r="U40" s="38">
        <f t="shared" ca="1" si="24"/>
        <v>4.5175813564076428</v>
      </c>
      <c r="V40" s="38">
        <f t="shared" ca="1" si="24"/>
        <v>4.5175813564076428</v>
      </c>
      <c r="W40" s="37">
        <f t="shared" ca="1" si="61"/>
        <v>4.5751947234658452</v>
      </c>
      <c r="X40" s="38">
        <f t="shared" ca="1" si="25"/>
        <v>4.5751947234658452</v>
      </c>
      <c r="Y40" s="38">
        <f t="shared" ca="1" si="25"/>
        <v>4.5751947234658452</v>
      </c>
      <c r="Z40" s="47">
        <f t="shared" ca="1" si="25"/>
        <v>4.5751947234658452</v>
      </c>
      <c r="AA40" s="511">
        <f t="shared" ca="1" si="62"/>
        <v>1</v>
      </c>
      <c r="AB40" s="503">
        <f t="shared" ca="1" si="63"/>
        <v>4841.1984213747382</v>
      </c>
      <c r="AC40" s="70">
        <f t="shared" ca="1" si="64"/>
        <v>1477375.2868239018</v>
      </c>
      <c r="AD40" s="70">
        <f t="shared" ca="1" si="65"/>
        <v>-1678.06459010857</v>
      </c>
      <c r="AE40" s="70">
        <f t="shared" ca="1" si="66"/>
        <v>1859.8155181379661</v>
      </c>
      <c r="AF40" s="504">
        <f t="shared" ca="1" si="67"/>
        <v>6674163.0521730529</v>
      </c>
      <c r="AG40" s="507">
        <f t="shared" ca="1" si="68"/>
        <v>3035.1776218524237</v>
      </c>
      <c r="AH40" s="503">
        <f t="shared" ca="1" si="69"/>
        <v>1442636.0703740472</v>
      </c>
      <c r="AI40" s="504">
        <f t="shared" ca="1" si="70"/>
        <v>6600340.9370568423</v>
      </c>
      <c r="AJ40" s="45">
        <f t="shared" ca="1" si="17"/>
        <v>2.9273599999996804</v>
      </c>
      <c r="AK40" s="464">
        <f t="shared" ca="1" si="71"/>
        <v>4.5751947234658452</v>
      </c>
      <c r="AL40" s="279"/>
    </row>
    <row r="41" spans="1:38" s="14" customFormat="1" ht="12" customHeight="1" x14ac:dyDescent="0.15">
      <c r="A41" s="32">
        <f t="shared" ca="1" si="50"/>
        <v>779.72560153529048</v>
      </c>
      <c r="B41" s="32">
        <f t="shared" ca="1" si="51"/>
        <v>1463556.820054655</v>
      </c>
      <c r="C41" s="32">
        <f t="shared" ca="1" si="52"/>
        <v>-831.56432327095172</v>
      </c>
      <c r="D41" s="183">
        <f t="shared" ca="1" si="53"/>
        <v>42.85208906720186</v>
      </c>
      <c r="E41" s="32">
        <f t="shared" ca="1" si="54"/>
        <v>6604937.7913621441</v>
      </c>
      <c r="F41" s="760">
        <f t="shared" ca="1" si="55"/>
        <v>3660.2613772930736</v>
      </c>
      <c r="G41" s="531">
        <f t="shared" ca="1" si="56"/>
        <v>1430634.5670338711</v>
      </c>
      <c r="H41" s="532">
        <f t="shared" ca="1" si="57"/>
        <v>6530490.5924904933</v>
      </c>
      <c r="I41" s="31">
        <f t="shared" ca="1" si="58"/>
        <v>44</v>
      </c>
      <c r="J41" s="302">
        <f t="shared" ca="1" si="20"/>
        <v>4.5646142905463218</v>
      </c>
      <c r="K41" s="46">
        <f t="shared" ca="1" si="72"/>
        <v>4.5647510153694482</v>
      </c>
      <c r="L41" s="440"/>
      <c r="M41" s="441"/>
      <c r="N41" s="45">
        <f ca="1">IFERROR(IFNEG(INDIRECT(ADDRESS(MATCH(FirstLine+15,RawEntrie,0)+ROW(RawEntrie)+ROW()-20,2))-INDIRECT(ADDRESS(MATCH(1+15,RawEntrie,0)+ROW(RawEntrie)-17,2)),""),"")</f>
        <v>2.9949439999995775</v>
      </c>
      <c r="O41" s="523"/>
      <c r="P41" s="524"/>
      <c r="Q41" s="56"/>
      <c r="R41" s="322">
        <f t="shared" ca="1" si="73"/>
        <v>1430677.4191229383</v>
      </c>
      <c r="S41" s="37">
        <f t="shared" ca="1" si="59"/>
        <v>4.5129356789273745</v>
      </c>
      <c r="T41" s="38">
        <f t="shared" ca="1" si="60"/>
        <v>4.5129356789273745</v>
      </c>
      <c r="U41" s="38">
        <f t="shared" ca="1" si="24"/>
        <v>4.5129356789273745</v>
      </c>
      <c r="V41" s="38">
        <f t="shared" ca="1" si="24"/>
        <v>4.5129356789273745</v>
      </c>
      <c r="W41" s="37">
        <f t="shared" ca="1" si="61"/>
        <v>4.5647510153694482</v>
      </c>
      <c r="X41" s="38">
        <f t="shared" ca="1" si="25"/>
        <v>4.5647510153694482</v>
      </c>
      <c r="Y41" s="38">
        <f t="shared" ca="1" si="25"/>
        <v>4.5647510153694482</v>
      </c>
      <c r="Z41" s="47">
        <f t="shared" ca="1" si="25"/>
        <v>4.5647510153694482</v>
      </c>
      <c r="AA41" s="511">
        <f t="shared" ca="1" si="62"/>
        <v>1</v>
      </c>
      <c r="AB41" s="503">
        <f t="shared" ca="1" si="63"/>
        <v>779.72560153529048</v>
      </c>
      <c r="AC41" s="70">
        <f t="shared" ca="1" si="64"/>
        <v>1463556.820054655</v>
      </c>
      <c r="AD41" s="70">
        <f t="shared" ca="1" si="65"/>
        <v>-831.56432327095172</v>
      </c>
      <c r="AE41" s="70">
        <f t="shared" ca="1" si="66"/>
        <v>42.85208906720186</v>
      </c>
      <c r="AF41" s="504">
        <f t="shared" ca="1" si="67"/>
        <v>6604937.7913621441</v>
      </c>
      <c r="AG41" s="507">
        <f t="shared" ca="1" si="68"/>
        <v>3660.2613772930736</v>
      </c>
      <c r="AH41" s="503">
        <f t="shared" ca="1" si="69"/>
        <v>1430634.5670338711</v>
      </c>
      <c r="AI41" s="504">
        <f t="shared" ca="1" si="70"/>
        <v>6530490.5924904933</v>
      </c>
      <c r="AJ41" s="45">
        <f t="shared" ca="1" si="17"/>
        <v>2.9949439999995775</v>
      </c>
      <c r="AK41" s="464">
        <f t="shared" ca="1" si="71"/>
        <v>4.5647510153694482</v>
      </c>
      <c r="AL41" s="279"/>
    </row>
    <row r="42" spans="1:38" s="14" customFormat="1" ht="12" customHeight="1" x14ac:dyDescent="0.15">
      <c r="A42" s="32">
        <f t="shared" ca="1" si="50"/>
        <v>1628.965317225513</v>
      </c>
      <c r="B42" s="32">
        <f t="shared" ca="1" si="51"/>
        <v>1464643.1020120098</v>
      </c>
      <c r="C42" s="32">
        <f t="shared" ca="1" si="52"/>
        <v>698.82297619009842</v>
      </c>
      <c r="D42" s="183">
        <f t="shared" ca="1" si="53"/>
        <v>1203.5935431070372</v>
      </c>
      <c r="E42" s="32">
        <f t="shared" ca="1" si="54"/>
        <v>6615854.2773699798</v>
      </c>
      <c r="F42" s="760">
        <f t="shared" ca="1" si="55"/>
        <v>287.53019309053161</v>
      </c>
      <c r="G42" s="531">
        <f t="shared" ca="1" si="56"/>
        <v>1430560.1075371862</v>
      </c>
      <c r="H42" s="532">
        <f t="shared" ca="1" si="57"/>
        <v>6544779.8096825313</v>
      </c>
      <c r="I42" s="31">
        <f t="shared" ca="1" si="58"/>
        <v>45</v>
      </c>
      <c r="J42" s="302">
        <f t="shared" ca="1" si="20"/>
        <v>4.5711312591207403</v>
      </c>
      <c r="K42" s="46">
        <f t="shared" ca="1" si="72"/>
        <v>4.5749771541930162</v>
      </c>
      <c r="L42" s="440"/>
      <c r="M42" s="441"/>
      <c r="N42" s="45">
        <f ca="1">IFERROR(IFNEG(INDIRECT(ADDRESS(MATCH(FirstLine+15,RawEntrie,0)+ROW(RawEntrie)+ROW()-20,2))-INDIRECT(ADDRESS(MATCH(1+15,RawEntrie,0)+ROW(RawEntrie)-17,2)),""),"")</f>
        <v>3.0630399999995461</v>
      </c>
      <c r="O42" s="523"/>
      <c r="P42" s="524"/>
      <c r="Q42" s="56"/>
      <c r="R42" s="322">
        <f t="shared" ca="1" si="73"/>
        <v>1431763.7010802932</v>
      </c>
      <c r="S42" s="37">
        <f t="shared" ca="1" si="59"/>
        <v>4.5170419116313365</v>
      </c>
      <c r="T42" s="38">
        <f t="shared" ca="1" si="60"/>
        <v>4.5170419116313365</v>
      </c>
      <c r="U42" s="38">
        <f t="shared" ca="1" si="24"/>
        <v>4.5170419116313365</v>
      </c>
      <c r="V42" s="38">
        <f t="shared" ca="1" si="24"/>
        <v>4.5170419116313365</v>
      </c>
      <c r="W42" s="37">
        <f t="shared" ca="1" si="61"/>
        <v>4.5749771541930162</v>
      </c>
      <c r="X42" s="38">
        <f t="shared" ca="1" si="25"/>
        <v>4.5749771541930162</v>
      </c>
      <c r="Y42" s="38">
        <f t="shared" ca="1" si="25"/>
        <v>4.5749771541930162</v>
      </c>
      <c r="Z42" s="47">
        <f t="shared" ca="1" si="25"/>
        <v>4.5749771541930162</v>
      </c>
      <c r="AA42" s="511">
        <f t="shared" ca="1" si="62"/>
        <v>1</v>
      </c>
      <c r="AB42" s="503">
        <f t="shared" ca="1" si="63"/>
        <v>1628.965317225513</v>
      </c>
      <c r="AC42" s="70">
        <f t="shared" ca="1" si="64"/>
        <v>1464643.1020120098</v>
      </c>
      <c r="AD42" s="70">
        <f t="shared" ca="1" si="65"/>
        <v>698.82297619009842</v>
      </c>
      <c r="AE42" s="70">
        <f t="shared" ca="1" si="66"/>
        <v>1203.5935431070372</v>
      </c>
      <c r="AF42" s="504">
        <f t="shared" ca="1" si="67"/>
        <v>6615854.2773699798</v>
      </c>
      <c r="AG42" s="507">
        <f t="shared" ca="1" si="68"/>
        <v>287.53019309053161</v>
      </c>
      <c r="AH42" s="503">
        <f t="shared" ca="1" si="69"/>
        <v>1430560.1075371862</v>
      </c>
      <c r="AI42" s="504">
        <f t="shared" ca="1" si="70"/>
        <v>6544779.8096825313</v>
      </c>
      <c r="AJ42" s="45">
        <f t="shared" ca="1" si="17"/>
        <v>3.0630399999995461</v>
      </c>
      <c r="AK42" s="464">
        <f t="shared" ca="1" si="71"/>
        <v>4.5749771541930162</v>
      </c>
      <c r="AL42" s="279"/>
    </row>
    <row r="43" spans="1:38" s="14" customFormat="1" ht="12" customHeight="1" x14ac:dyDescent="0.15">
      <c r="A43" s="32">
        <f t="shared" ca="1" si="50"/>
        <v>2975.6681206850553</v>
      </c>
      <c r="B43" s="32">
        <f t="shared" ca="1" si="51"/>
        <v>1492724.643118931</v>
      </c>
      <c r="C43" s="32">
        <f t="shared" ca="1" si="52"/>
        <v>909.10773835999498</v>
      </c>
      <c r="D43" s="183">
        <f t="shared" ca="1" si="53"/>
        <v>2030.5907735190078</v>
      </c>
      <c r="E43" s="32">
        <f t="shared" ca="1" si="54"/>
        <v>6764689.5204684427</v>
      </c>
      <c r="F43" s="760">
        <f t="shared" ca="1" si="55"/>
        <v>-2386.2272964319127</v>
      </c>
      <c r="G43" s="531">
        <f t="shared" ca="1" si="56"/>
        <v>1457814.6514136954</v>
      </c>
      <c r="H43" s="532">
        <f t="shared" ca="1" si="57"/>
        <v>6696288.8102705162</v>
      </c>
      <c r="I43" s="31">
        <f t="shared" ca="1" si="58"/>
        <v>46</v>
      </c>
      <c r="J43" s="302"/>
      <c r="K43" s="46"/>
      <c r="L43" s="440"/>
      <c r="M43" s="441"/>
      <c r="N43" s="45">
        <f ca="1">IFERROR(IFNEG(INDIRECT(ADDRESS(MATCH(FirstLine+15,RawEntrie,0)+ROW(RawEntrie)+ROW()-20,2))-INDIRECT(ADDRESS(MATCH(1+15,RawEntrie,0)+ROW(RawEntrie)-17,2)),""),"")</f>
        <v>3.1311359999999695</v>
      </c>
      <c r="O43" s="523"/>
      <c r="P43" s="524"/>
      <c r="Q43" s="56"/>
      <c r="R43" s="322">
        <f t="shared" ca="1" si="73"/>
        <v>1459845.2421872143</v>
      </c>
      <c r="S43" s="37">
        <f t="shared" ca="1" si="59"/>
        <v>4.5317731918287052</v>
      </c>
      <c r="T43" s="38">
        <f t="shared" ca="1" si="60"/>
        <v>4.5317731918287052</v>
      </c>
      <c r="U43" s="38">
        <f t="shared" ref="U43:V62" ca="1" si="74">IF(T43&gt;T$104,"",IF(T43&lt;T$105,"",T43))</f>
        <v>4.5317731918287052</v>
      </c>
      <c r="V43" s="38">
        <f t="shared" ca="1" si="74"/>
        <v>4.5317731918287052</v>
      </c>
      <c r="W43" s="37">
        <f t="shared" ca="1" si="61"/>
        <v>4.5933746130050785</v>
      </c>
      <c r="X43" s="38">
        <f t="shared" ref="X43:Z62" ca="1" si="75">IF(W43&gt;W$104,"",IF(W43&lt;W$105,"",W43))</f>
        <v>4.5933746130050785</v>
      </c>
      <c r="Y43" s="38" t="str">
        <f t="shared" ca="1" si="75"/>
        <v/>
      </c>
      <c r="Z43" s="47" t="str">
        <f t="shared" ca="1" si="75"/>
        <v/>
      </c>
      <c r="AA43" s="511" t="str">
        <f t="shared" si="62"/>
        <v/>
      </c>
      <c r="AB43" s="503" t="str">
        <f t="shared" si="63"/>
        <v xml:space="preserve"> </v>
      </c>
      <c r="AC43" s="70" t="str">
        <f t="shared" si="64"/>
        <v xml:space="preserve"> </v>
      </c>
      <c r="AD43" s="70" t="str">
        <f t="shared" si="65"/>
        <v xml:space="preserve"> </v>
      </c>
      <c r="AE43" s="70" t="str">
        <f t="shared" si="66"/>
        <v xml:space="preserve"> </v>
      </c>
      <c r="AF43" s="504" t="str">
        <f t="shared" si="67"/>
        <v xml:space="preserve"> </v>
      </c>
      <c r="AG43" s="507" t="str">
        <f t="shared" si="68"/>
        <v xml:space="preserve"> </v>
      </c>
      <c r="AH43" s="503" t="str">
        <f t="shared" si="69"/>
        <v xml:space="preserve"> </v>
      </c>
      <c r="AI43" s="504" t="str">
        <f t="shared" si="70"/>
        <v xml:space="preserve"> </v>
      </c>
      <c r="AJ43" s="45">
        <f t="shared" ca="1" si="17"/>
        <v>3.1311359999999695</v>
      </c>
      <c r="AK43" s="464" t="e">
        <f t="shared" si="71"/>
        <v>#N/A</v>
      </c>
      <c r="AL43" s="279"/>
    </row>
    <row r="44" spans="1:38" s="14" customFormat="1" ht="12" customHeight="1" x14ac:dyDescent="0.15">
      <c r="A44" s="32">
        <f t="shared" ca="1" si="50"/>
        <v>241.33566114468704</v>
      </c>
      <c r="B44" s="32">
        <f t="shared" ca="1" si="51"/>
        <v>1530741.2639386295</v>
      </c>
      <c r="C44" s="32">
        <f t="shared" ca="1" si="52"/>
        <v>1595.6511686968734</v>
      </c>
      <c r="D44" s="183">
        <f t="shared" ca="1" si="53"/>
        <v>860.68988764119206</v>
      </c>
      <c r="E44" s="32">
        <f t="shared" ca="1" si="54"/>
        <v>6921936.9396067485</v>
      </c>
      <c r="F44" s="760">
        <f t="shared" ca="1" si="55"/>
        <v>-1363.8996165908493</v>
      </c>
      <c r="G44" s="531">
        <f t="shared" ca="1" si="56"/>
        <v>1497001.1731192716</v>
      </c>
      <c r="H44" s="532">
        <f t="shared" ca="1" si="57"/>
        <v>6852513.9017289812</v>
      </c>
      <c r="I44" s="31">
        <f t="shared" ca="1" si="58"/>
        <v>47</v>
      </c>
      <c r="J44" s="302">
        <f t="shared" ref="J44:J56" ca="1" si="76">IFERROR((_11Bback)/(_10Bcorr),"")</f>
        <v>4.5748637247314416</v>
      </c>
      <c r="K44" s="46">
        <f t="shared" ref="K44:K56" ca="1" si="77">IFERROR((_11Bback)/(_10Bback),"")</f>
        <v>4.5774940092067755</v>
      </c>
      <c r="L44" s="440"/>
      <c r="M44" s="441"/>
      <c r="N44" s="45">
        <f ca="1">IFERROR(IFNEG(INDIRECT(ADDRESS(MATCH(FirstLine+15,RawEntrie,0)+ROW(RawEntrie)+ROW()-20,2))-INDIRECT(ADDRESS(MATCH(1+15,RawEntrie,0)+ROW(RawEntrie)-17,2)),""),"")</f>
        <v>3.1992319999999381</v>
      </c>
      <c r="O44" s="523"/>
      <c r="P44" s="524"/>
      <c r="Q44" s="56"/>
      <c r="R44" s="322">
        <f t="shared" ca="1" si="73"/>
        <v>1497861.8630069129</v>
      </c>
      <c r="S44" s="37">
        <f t="shared" ca="1" si="59"/>
        <v>4.5219509675962213</v>
      </c>
      <c r="T44" s="38">
        <f t="shared" ca="1" si="60"/>
        <v>4.5219509675962213</v>
      </c>
      <c r="U44" s="38">
        <f t="shared" ca="1" si="74"/>
        <v>4.5219509675962213</v>
      </c>
      <c r="V44" s="38">
        <f t="shared" ca="1" si="74"/>
        <v>4.5219509675962213</v>
      </c>
      <c r="W44" s="37">
        <f t="shared" ca="1" si="61"/>
        <v>4.5774940092067755</v>
      </c>
      <c r="X44" s="38">
        <f t="shared" ca="1" si="75"/>
        <v>4.5774940092067755</v>
      </c>
      <c r="Y44" s="38">
        <f t="shared" ca="1" si="75"/>
        <v>4.5774940092067755</v>
      </c>
      <c r="Z44" s="47">
        <f t="shared" ca="1" si="75"/>
        <v>4.5774940092067755</v>
      </c>
      <c r="AA44" s="511">
        <f t="shared" ca="1" si="62"/>
        <v>1</v>
      </c>
      <c r="AB44" s="503">
        <f t="shared" ca="1" si="63"/>
        <v>241.33566114468704</v>
      </c>
      <c r="AC44" s="70">
        <f t="shared" ca="1" si="64"/>
        <v>1530741.2639386295</v>
      </c>
      <c r="AD44" s="70">
        <f t="shared" ca="1" si="65"/>
        <v>1595.6511686968734</v>
      </c>
      <c r="AE44" s="70">
        <f t="shared" ca="1" si="66"/>
        <v>860.68988764119206</v>
      </c>
      <c r="AF44" s="504">
        <f t="shared" ca="1" si="67"/>
        <v>6921936.9396067485</v>
      </c>
      <c r="AG44" s="507">
        <f t="shared" ca="1" si="68"/>
        <v>-1363.8996165908493</v>
      </c>
      <c r="AH44" s="503">
        <f t="shared" ca="1" si="69"/>
        <v>1497001.1731192716</v>
      </c>
      <c r="AI44" s="504">
        <f t="shared" ca="1" si="70"/>
        <v>6852513.9017289812</v>
      </c>
      <c r="AJ44" s="45">
        <f t="shared" ca="1" si="17"/>
        <v>3.1992319999999381</v>
      </c>
      <c r="AK44" s="464">
        <f t="shared" ca="1" si="71"/>
        <v>4.5774940092067755</v>
      </c>
      <c r="AL44" s="279"/>
    </row>
    <row r="45" spans="1:38" s="14" customFormat="1" ht="12" customHeight="1" x14ac:dyDescent="0.15">
      <c r="A45" s="32">
        <f t="shared" ca="1" si="50"/>
        <v>-198.62289651756146</v>
      </c>
      <c r="B45" s="32">
        <f t="shared" ca="1" si="51"/>
        <v>1545912.084445585</v>
      </c>
      <c r="C45" s="32">
        <f t="shared" ca="1" si="52"/>
        <v>646.0416114312975</v>
      </c>
      <c r="D45" s="183">
        <f t="shared" ca="1" si="53"/>
        <v>187.65823963752894</v>
      </c>
      <c r="E45" s="32">
        <f t="shared" ca="1" si="54"/>
        <v>6990170.2498110281</v>
      </c>
      <c r="F45" s="760">
        <f t="shared" ca="1" si="55"/>
        <v>11.248648294200393</v>
      </c>
      <c r="G45" s="531">
        <f t="shared" ca="1" si="56"/>
        <v>1512845.0252742309</v>
      </c>
      <c r="H45" s="532">
        <f t="shared" ca="1" si="57"/>
        <v>6919372.0636683758</v>
      </c>
      <c r="I45" s="31">
        <f t="shared" ca="1" si="58"/>
        <v>48</v>
      </c>
      <c r="J45" s="302">
        <f t="shared" ca="1" si="76"/>
        <v>4.573180830171375</v>
      </c>
      <c r="K45" s="46">
        <f t="shared" ca="1" si="77"/>
        <v>4.5737481024628499</v>
      </c>
      <c r="L45" s="440"/>
      <c r="M45" s="441"/>
      <c r="N45" s="45">
        <f ca="1">IFERROR(IFNEG(INDIRECT(ADDRESS(MATCH(FirstLine+15,RawEntrie,0)+ROW(RawEntrie)+ROW()-20,2))-INDIRECT(ADDRESS(MATCH(1+15,RawEntrie,0)+ROW(RawEntrie)-17,2)),""),"")</f>
        <v>3.267327999999452</v>
      </c>
      <c r="O45" s="523"/>
      <c r="P45" s="524"/>
      <c r="Q45" s="56"/>
      <c r="R45" s="322">
        <f t="shared" ca="1" si="73"/>
        <v>1513032.6835138684</v>
      </c>
      <c r="S45" s="37">
        <f t="shared" ca="1" si="59"/>
        <v>4.5217126640923651</v>
      </c>
      <c r="T45" s="38">
        <f t="shared" ca="1" si="60"/>
        <v>4.5217126640923651</v>
      </c>
      <c r="U45" s="38">
        <f t="shared" ca="1" si="74"/>
        <v>4.5217126640923651</v>
      </c>
      <c r="V45" s="38">
        <f t="shared" ca="1" si="74"/>
        <v>4.5217126640923651</v>
      </c>
      <c r="W45" s="37">
        <f t="shared" ca="1" si="61"/>
        <v>4.5737481024628499</v>
      </c>
      <c r="X45" s="38">
        <f t="shared" ca="1" si="75"/>
        <v>4.5737481024628499</v>
      </c>
      <c r="Y45" s="38">
        <f t="shared" ca="1" si="75"/>
        <v>4.5737481024628499</v>
      </c>
      <c r="Z45" s="47">
        <f t="shared" ca="1" si="75"/>
        <v>4.5737481024628499</v>
      </c>
      <c r="AA45" s="511">
        <f t="shared" ca="1" si="62"/>
        <v>1</v>
      </c>
      <c r="AB45" s="503">
        <f t="shared" ca="1" si="63"/>
        <v>-198.62289651756146</v>
      </c>
      <c r="AC45" s="70">
        <f t="shared" ca="1" si="64"/>
        <v>1545912.084445585</v>
      </c>
      <c r="AD45" s="70">
        <f t="shared" ca="1" si="65"/>
        <v>646.0416114312975</v>
      </c>
      <c r="AE45" s="70">
        <f t="shared" ca="1" si="66"/>
        <v>187.65823963752894</v>
      </c>
      <c r="AF45" s="504">
        <f t="shared" ca="1" si="67"/>
        <v>6990170.2498110281</v>
      </c>
      <c r="AG45" s="507">
        <f t="shared" ca="1" si="68"/>
        <v>11.248648294200393</v>
      </c>
      <c r="AH45" s="503">
        <f t="shared" ca="1" si="69"/>
        <v>1512845.0252742309</v>
      </c>
      <c r="AI45" s="504">
        <f t="shared" ca="1" si="70"/>
        <v>6919372.0636683758</v>
      </c>
      <c r="AJ45" s="45">
        <f t="shared" ca="1" si="17"/>
        <v>3.267327999999452</v>
      </c>
      <c r="AK45" s="464">
        <f t="shared" ca="1" si="71"/>
        <v>4.5737481024628499</v>
      </c>
      <c r="AL45" s="279"/>
    </row>
    <row r="46" spans="1:38" s="14" customFormat="1" ht="12" customHeight="1" x14ac:dyDescent="0.15">
      <c r="A46" s="32">
        <f t="shared" ca="1" si="50"/>
        <v>-1549.4177059122812</v>
      </c>
      <c r="B46" s="32">
        <f t="shared" ca="1" si="51"/>
        <v>1535770.8082007866</v>
      </c>
      <c r="C46" s="32">
        <f t="shared" ca="1" si="52"/>
        <v>-307.49660680080706</v>
      </c>
      <c r="D46" s="183">
        <f t="shared" ca="1" si="53"/>
        <v>-981.46357895989752</v>
      </c>
      <c r="E46" s="32">
        <f t="shared" ca="1" si="54"/>
        <v>6944837.8703829842</v>
      </c>
      <c r="F46" s="760">
        <f t="shared" ca="1" si="55"/>
        <v>-592.60392337545909</v>
      </c>
      <c r="G46" s="531">
        <f t="shared" ca="1" si="56"/>
        <v>1503872.8708480299</v>
      </c>
      <c r="H46" s="532">
        <f t="shared" ca="1" si="57"/>
        <v>6874643.5368120018</v>
      </c>
      <c r="I46" s="31">
        <f t="shared" ca="1" si="58"/>
        <v>49</v>
      </c>
      <c r="J46" s="302">
        <f t="shared" ca="1" si="76"/>
        <v>4.5742782902086292</v>
      </c>
      <c r="K46" s="46">
        <f t="shared" ca="1" si="77"/>
        <v>4.5712930062601691</v>
      </c>
      <c r="L46" s="440"/>
      <c r="M46" s="441"/>
      <c r="N46" s="45">
        <f ca="1">IFERROR(IFNEG(INDIRECT(ADDRESS(MATCH(FirstLine+15,RawEntrie,0)+ROW(RawEntrie)+ROW()-20,2))-INDIRECT(ADDRESS(MATCH(1+15,RawEntrie,0)+ROW(RawEntrie)-17,2)),""),"")</f>
        <v>3.3351679999996122</v>
      </c>
      <c r="O46" s="523"/>
      <c r="P46" s="524"/>
      <c r="Q46" s="56"/>
      <c r="R46" s="322">
        <f t="shared" ca="1" si="73"/>
        <v>1502891.4072690699</v>
      </c>
      <c r="S46" s="37">
        <f t="shared" ca="1" si="59"/>
        <v>4.5220535729020161</v>
      </c>
      <c r="T46" s="38">
        <f t="shared" ca="1" si="60"/>
        <v>4.5220535729020161</v>
      </c>
      <c r="U46" s="38">
        <f t="shared" ca="1" si="74"/>
        <v>4.5220535729020161</v>
      </c>
      <c r="V46" s="38">
        <f t="shared" ca="1" si="74"/>
        <v>4.5220535729020161</v>
      </c>
      <c r="W46" s="37">
        <f t="shared" ca="1" si="61"/>
        <v>4.5712930062601691</v>
      </c>
      <c r="X46" s="38">
        <f t="shared" ca="1" si="75"/>
        <v>4.5712930062601691</v>
      </c>
      <c r="Y46" s="38">
        <f t="shared" ca="1" si="75"/>
        <v>4.5712930062601691</v>
      </c>
      <c r="Z46" s="47">
        <f t="shared" ca="1" si="75"/>
        <v>4.5712930062601691</v>
      </c>
      <c r="AA46" s="511">
        <f t="shared" ca="1" si="62"/>
        <v>1</v>
      </c>
      <c r="AB46" s="503">
        <f t="shared" ca="1" si="63"/>
        <v>-1549.4177059122812</v>
      </c>
      <c r="AC46" s="70">
        <f t="shared" ca="1" si="64"/>
        <v>1535770.8082007866</v>
      </c>
      <c r="AD46" s="70">
        <f t="shared" ca="1" si="65"/>
        <v>-307.49660680080706</v>
      </c>
      <c r="AE46" s="70">
        <f t="shared" ca="1" si="66"/>
        <v>-981.46357895989752</v>
      </c>
      <c r="AF46" s="504">
        <f t="shared" ca="1" si="67"/>
        <v>6944837.8703829842</v>
      </c>
      <c r="AG46" s="507">
        <f t="shared" ca="1" si="68"/>
        <v>-592.60392337545909</v>
      </c>
      <c r="AH46" s="503">
        <f t="shared" ca="1" si="69"/>
        <v>1503872.8708480299</v>
      </c>
      <c r="AI46" s="504">
        <f t="shared" ca="1" si="70"/>
        <v>6874643.5368120018</v>
      </c>
      <c r="AJ46" s="45">
        <f t="shared" ca="1" si="17"/>
        <v>3.3351679999996122</v>
      </c>
      <c r="AK46" s="464">
        <f t="shared" ca="1" si="71"/>
        <v>4.5712930062601691</v>
      </c>
      <c r="AL46" s="279"/>
    </row>
    <row r="47" spans="1:38" s="14" customFormat="1" ht="12" customHeight="1" x14ac:dyDescent="0.15">
      <c r="A47" s="32">
        <f t="shared" ca="1" si="50"/>
        <v>-1454.1304963111324</v>
      </c>
      <c r="B47" s="32">
        <f t="shared" ca="1" si="51"/>
        <v>1495562.9512057479</v>
      </c>
      <c r="C47" s="32">
        <f t="shared" ca="1" si="52"/>
        <v>-1830.1118161560244</v>
      </c>
      <c r="D47" s="183">
        <f t="shared" ca="1" si="53"/>
        <v>-1626.0739011020542</v>
      </c>
      <c r="E47" s="32">
        <f t="shared" ca="1" si="54"/>
        <v>6759630.490318493</v>
      </c>
      <c r="F47" s="760">
        <f t="shared" ca="1" si="55"/>
        <v>376.24641611682728</v>
      </c>
      <c r="G47" s="531">
        <f t="shared" ca="1" si="56"/>
        <v>1464309.6241751332</v>
      </c>
      <c r="H47" s="532">
        <f t="shared" ca="1" si="57"/>
        <v>6688467.3064080179</v>
      </c>
      <c r="I47" s="31">
        <f t="shared" ca="1" si="58"/>
        <v>50</v>
      </c>
      <c r="J47" s="302">
        <f t="shared" ca="1" si="76"/>
        <v>4.5727370798385918</v>
      </c>
      <c r="K47" s="46">
        <f t="shared" ca="1" si="77"/>
        <v>4.567659186270614</v>
      </c>
      <c r="L47" s="440"/>
      <c r="M47" s="441"/>
      <c r="N47" s="45">
        <f ca="1">IFERROR(IFNEG(INDIRECT(ADDRESS(MATCH(FirstLine+15,RawEntrie,0)+ROW(RawEntrie)+ROW()-20,2))-INDIRECT(ADDRESS(MATCH(1+15,RawEntrie,0)+ROW(RawEntrie)-17,2)),""),"")</f>
        <v>3.4032640000000356</v>
      </c>
      <c r="O47" s="523"/>
      <c r="P47" s="524"/>
      <c r="Q47" s="56"/>
      <c r="R47" s="322">
        <f t="shared" ca="1" si="73"/>
        <v>1462683.5502740312</v>
      </c>
      <c r="S47" s="37">
        <f t="shared" ca="1" si="59"/>
        <v>4.5197900127632646</v>
      </c>
      <c r="T47" s="38">
        <f t="shared" ca="1" si="60"/>
        <v>4.5197900127632646</v>
      </c>
      <c r="U47" s="38">
        <f t="shared" ca="1" si="74"/>
        <v>4.5197900127632646</v>
      </c>
      <c r="V47" s="38">
        <f t="shared" ca="1" si="74"/>
        <v>4.5197900127632646</v>
      </c>
      <c r="W47" s="37">
        <f t="shared" ca="1" si="61"/>
        <v>4.567659186270614</v>
      </c>
      <c r="X47" s="38">
        <f t="shared" ca="1" si="75"/>
        <v>4.567659186270614</v>
      </c>
      <c r="Y47" s="38">
        <f t="shared" ca="1" si="75"/>
        <v>4.567659186270614</v>
      </c>
      <c r="Z47" s="47">
        <f t="shared" ca="1" si="75"/>
        <v>4.567659186270614</v>
      </c>
      <c r="AA47" s="511">
        <f t="shared" ca="1" si="62"/>
        <v>1</v>
      </c>
      <c r="AB47" s="503">
        <f t="shared" ca="1" si="63"/>
        <v>-1454.1304963111324</v>
      </c>
      <c r="AC47" s="70">
        <f t="shared" ca="1" si="64"/>
        <v>1495562.9512057479</v>
      </c>
      <c r="AD47" s="70">
        <f t="shared" ca="1" si="65"/>
        <v>-1830.1118161560244</v>
      </c>
      <c r="AE47" s="70">
        <f t="shared" ca="1" si="66"/>
        <v>-1626.0739011020542</v>
      </c>
      <c r="AF47" s="504">
        <f t="shared" ca="1" si="67"/>
        <v>6759630.490318493</v>
      </c>
      <c r="AG47" s="507">
        <f t="shared" ca="1" si="68"/>
        <v>376.24641611682728</v>
      </c>
      <c r="AH47" s="503">
        <f t="shared" ca="1" si="69"/>
        <v>1464309.6241751332</v>
      </c>
      <c r="AI47" s="504">
        <f t="shared" ca="1" si="70"/>
        <v>6688467.3064080179</v>
      </c>
      <c r="AJ47" s="45">
        <f t="shared" ca="1" si="17"/>
        <v>3.4032640000000356</v>
      </c>
      <c r="AK47" s="464">
        <f t="shared" ca="1" si="71"/>
        <v>4.567659186270614</v>
      </c>
      <c r="AL47" s="279"/>
    </row>
    <row r="48" spans="1:38" s="14" customFormat="1" ht="12" customHeight="1" x14ac:dyDescent="0.15">
      <c r="A48" s="32">
        <f t="shared" ca="1" si="50"/>
        <v>899.81315231661574</v>
      </c>
      <c r="B48" s="32">
        <f t="shared" ca="1" si="51"/>
        <v>1481621.5532055288</v>
      </c>
      <c r="C48" s="32">
        <f t="shared" ca="1" si="52"/>
        <v>-2495.4390569789248</v>
      </c>
      <c r="D48" s="183">
        <f t="shared" ca="1" si="53"/>
        <v>-652.90022512195605</v>
      </c>
      <c r="E48" s="32">
        <f t="shared" ca="1" si="54"/>
        <v>6699912.2660861043</v>
      </c>
      <c r="F48" s="760">
        <f t="shared" ca="1" si="55"/>
        <v>-352.29871111907687</v>
      </c>
      <c r="G48" s="531">
        <f t="shared" ca="1" si="56"/>
        <v>1449395.0524989341</v>
      </c>
      <c r="H48" s="532">
        <f t="shared" ca="1" si="57"/>
        <v>6629477.6273028655</v>
      </c>
      <c r="I48" s="31">
        <f t="shared" ca="1" si="58"/>
        <v>51</v>
      </c>
      <c r="J48" s="302">
        <f t="shared" ca="1" si="76"/>
        <v>4.576023150080812</v>
      </c>
      <c r="K48" s="46">
        <f t="shared" ca="1" si="77"/>
        <v>4.5739618166026137</v>
      </c>
      <c r="L48" s="440"/>
      <c r="M48" s="441"/>
      <c r="N48" s="45">
        <f ca="1">IFERROR(IFNEG(INDIRECT(ADDRESS(MATCH(FirstLine+15,RawEntrie,0)+ROW(RawEntrie)+ROW()-20,2))-INDIRECT(ADDRESS(MATCH(1+15,RawEntrie,0)+ROW(RawEntrie)-17,2)),""),"")</f>
        <v>3.4713599999995495</v>
      </c>
      <c r="O48" s="523"/>
      <c r="P48" s="524"/>
      <c r="Q48" s="56"/>
      <c r="R48" s="322">
        <f t="shared" ca="1" si="73"/>
        <v>1448742.1522738121</v>
      </c>
      <c r="S48" s="37">
        <f t="shared" ca="1" si="59"/>
        <v>4.5220132304303089</v>
      </c>
      <c r="T48" s="38">
        <f t="shared" ca="1" si="60"/>
        <v>4.5220132304303089</v>
      </c>
      <c r="U48" s="38">
        <f t="shared" ca="1" si="74"/>
        <v>4.5220132304303089</v>
      </c>
      <c r="V48" s="38">
        <f t="shared" ca="1" si="74"/>
        <v>4.5220132304303089</v>
      </c>
      <c r="W48" s="37">
        <f t="shared" ca="1" si="61"/>
        <v>4.5739618166026137</v>
      </c>
      <c r="X48" s="38">
        <f t="shared" ca="1" si="75"/>
        <v>4.5739618166026137</v>
      </c>
      <c r="Y48" s="38">
        <f t="shared" ca="1" si="75"/>
        <v>4.5739618166026137</v>
      </c>
      <c r="Z48" s="47">
        <f t="shared" ca="1" si="75"/>
        <v>4.5739618166026137</v>
      </c>
      <c r="AA48" s="511">
        <f t="shared" ca="1" si="62"/>
        <v>1</v>
      </c>
      <c r="AB48" s="503">
        <f t="shared" ca="1" si="63"/>
        <v>899.81315231661574</v>
      </c>
      <c r="AC48" s="70">
        <f t="shared" ca="1" si="64"/>
        <v>1481621.5532055288</v>
      </c>
      <c r="AD48" s="70">
        <f t="shared" ca="1" si="65"/>
        <v>-2495.4390569789248</v>
      </c>
      <c r="AE48" s="70">
        <f t="shared" ca="1" si="66"/>
        <v>-652.90022512195605</v>
      </c>
      <c r="AF48" s="504">
        <f t="shared" ca="1" si="67"/>
        <v>6699912.2660861043</v>
      </c>
      <c r="AG48" s="507">
        <f t="shared" ca="1" si="68"/>
        <v>-352.29871111907687</v>
      </c>
      <c r="AH48" s="503">
        <f t="shared" ca="1" si="69"/>
        <v>1449395.0524989341</v>
      </c>
      <c r="AI48" s="504">
        <f t="shared" ca="1" si="70"/>
        <v>6629477.6273028655</v>
      </c>
      <c r="AJ48" s="45">
        <f t="shared" ca="1" si="17"/>
        <v>3.4713599999995495</v>
      </c>
      <c r="AK48" s="464">
        <f t="shared" ca="1" si="71"/>
        <v>4.5739618166026137</v>
      </c>
      <c r="AL48" s="279"/>
    </row>
    <row r="49" spans="1:38" s="14" customFormat="1" ht="12" customHeight="1" x14ac:dyDescent="0.15">
      <c r="A49" s="32">
        <f t="shared" ca="1" si="50"/>
        <v>2416.9847372851145</v>
      </c>
      <c r="B49" s="32">
        <f t="shared" ca="1" si="51"/>
        <v>1476864.7769881701</v>
      </c>
      <c r="C49" s="32">
        <f t="shared" ca="1" si="52"/>
        <v>2545.4724971617106</v>
      </c>
      <c r="D49" s="183">
        <f t="shared" ca="1" si="53"/>
        <v>2475.7446323678128</v>
      </c>
      <c r="E49" s="32">
        <f t="shared" ca="1" si="54"/>
        <v>6664701.5829727007</v>
      </c>
      <c r="F49" s="760">
        <f t="shared" ca="1" si="55"/>
        <v>1500.4022532423869</v>
      </c>
      <c r="G49" s="531">
        <f t="shared" ca="1" si="56"/>
        <v>1441509.6314240857</v>
      </c>
      <c r="H49" s="532">
        <f t="shared" ca="1" si="57"/>
        <v>6592414.2432251005</v>
      </c>
      <c r="I49" s="31">
        <f t="shared" ca="1" si="58"/>
        <v>52</v>
      </c>
      <c r="J49" s="302">
        <f t="shared" ca="1" si="76"/>
        <v>4.5654300608148031</v>
      </c>
      <c r="K49" s="46">
        <f t="shared" ca="1" si="77"/>
        <v>4.5732710344171412</v>
      </c>
      <c r="L49" s="440"/>
      <c r="M49" s="441"/>
      <c r="N49" s="45">
        <f ca="1">IFERROR(IFNEG(INDIRECT(ADDRESS(MATCH(FirstLine+15,RawEntrie,0)+ROW(RawEntrie)+ROW()-20,2))-INDIRECT(ADDRESS(MATCH(1+15,RawEntrie,0)+ROW(RawEntrie)-17,2)),""),"")</f>
        <v>3.5394559999995181</v>
      </c>
      <c r="O49" s="523"/>
      <c r="P49" s="524"/>
      <c r="Q49" s="56"/>
      <c r="R49" s="322">
        <f t="shared" ca="1" si="73"/>
        <v>1443985.3760564534</v>
      </c>
      <c r="S49" s="37">
        <f t="shared" ca="1" si="59"/>
        <v>4.512736498844732</v>
      </c>
      <c r="T49" s="38">
        <f t="shared" ca="1" si="60"/>
        <v>4.512736498844732</v>
      </c>
      <c r="U49" s="38">
        <f t="shared" ca="1" si="74"/>
        <v>4.512736498844732</v>
      </c>
      <c r="V49" s="38">
        <f t="shared" ca="1" si="74"/>
        <v>4.512736498844732</v>
      </c>
      <c r="W49" s="37">
        <f t="shared" ca="1" si="61"/>
        <v>4.5732710344171412</v>
      </c>
      <c r="X49" s="38">
        <f t="shared" ca="1" si="75"/>
        <v>4.5732710344171412</v>
      </c>
      <c r="Y49" s="38">
        <f t="shared" ca="1" si="75"/>
        <v>4.5732710344171412</v>
      </c>
      <c r="Z49" s="47">
        <f t="shared" ca="1" si="75"/>
        <v>4.5732710344171412</v>
      </c>
      <c r="AA49" s="511">
        <f t="shared" ca="1" si="62"/>
        <v>1</v>
      </c>
      <c r="AB49" s="503">
        <f t="shared" ca="1" si="63"/>
        <v>2416.9847372851145</v>
      </c>
      <c r="AC49" s="70">
        <f t="shared" ca="1" si="64"/>
        <v>1476864.7769881701</v>
      </c>
      <c r="AD49" s="70">
        <f t="shared" ca="1" si="65"/>
        <v>2545.4724971617106</v>
      </c>
      <c r="AE49" s="70">
        <f t="shared" ca="1" si="66"/>
        <v>2475.7446323678128</v>
      </c>
      <c r="AF49" s="504">
        <f t="shared" ca="1" si="67"/>
        <v>6664701.5829727007</v>
      </c>
      <c r="AG49" s="507">
        <f t="shared" ca="1" si="68"/>
        <v>1500.4022532423869</v>
      </c>
      <c r="AH49" s="503">
        <f t="shared" ca="1" si="69"/>
        <v>1441509.6314240857</v>
      </c>
      <c r="AI49" s="504">
        <f t="shared" ca="1" si="70"/>
        <v>6592414.2432251005</v>
      </c>
      <c r="AJ49" s="45">
        <f t="shared" ca="1" si="17"/>
        <v>3.5394559999995181</v>
      </c>
      <c r="AK49" s="464">
        <f t="shared" ca="1" si="71"/>
        <v>4.5732710344171412</v>
      </c>
      <c r="AL49" s="279"/>
    </row>
    <row r="50" spans="1:38" s="14" customFormat="1" ht="12" customHeight="1" x14ac:dyDescent="0.15">
      <c r="A50" s="32">
        <f t="shared" ca="1" si="50"/>
        <v>-302.07057049225477</v>
      </c>
      <c r="B50" s="32">
        <f t="shared" ca="1" si="51"/>
        <v>1479607.7834483027</v>
      </c>
      <c r="C50" s="32">
        <f t="shared" ca="1" si="52"/>
        <v>3310.5224502299425</v>
      </c>
      <c r="D50" s="183">
        <f t="shared" ca="1" si="53"/>
        <v>1350.0368915570575</v>
      </c>
      <c r="E50" s="32">
        <f t="shared" ca="1" si="54"/>
        <v>6674956.8811998386</v>
      </c>
      <c r="F50" s="760">
        <f t="shared" ca="1" si="55"/>
        <v>-84.64698573632586</v>
      </c>
      <c r="G50" s="531">
        <f t="shared" ca="1" si="56"/>
        <v>1445378.3456250289</v>
      </c>
      <c r="H50" s="532">
        <f t="shared" ca="1" si="57"/>
        <v>6604254.5906912172</v>
      </c>
      <c r="I50" s="31">
        <f t="shared" ca="1" si="58"/>
        <v>53</v>
      </c>
      <c r="J50" s="302">
        <f t="shared" ca="1" si="76"/>
        <v>4.5649581984443461</v>
      </c>
      <c r="K50" s="46">
        <f t="shared" ca="1" si="77"/>
        <v>4.5692220384243551</v>
      </c>
      <c r="L50" s="440"/>
      <c r="M50" s="441"/>
      <c r="N50" s="45">
        <f ca="1">IFERROR(IFNEG(INDIRECT(ADDRESS(MATCH(FirstLine+15,RawEntrie,0)+ROW(RawEntrie)+ROW()-20,2))-INDIRECT(ADDRESS(MATCH(1+15,RawEntrie,0)+ROW(RawEntrie)-17,2)),""),"")</f>
        <v>3.6075519999994867</v>
      </c>
      <c r="O50" s="523"/>
      <c r="P50" s="524"/>
      <c r="Q50" s="56"/>
      <c r="R50" s="322">
        <f t="shared" ca="1" si="73"/>
        <v>1446728.382516586</v>
      </c>
      <c r="S50" s="37">
        <f t="shared" ca="1" si="59"/>
        <v>4.5113015461729358</v>
      </c>
      <c r="T50" s="38">
        <f t="shared" ca="1" si="60"/>
        <v>4.5113015461729358</v>
      </c>
      <c r="U50" s="38">
        <f t="shared" ca="1" si="74"/>
        <v>4.5113015461729358</v>
      </c>
      <c r="V50" s="38">
        <f t="shared" ca="1" si="74"/>
        <v>4.5113015461729358</v>
      </c>
      <c r="W50" s="37">
        <f t="shared" ca="1" si="61"/>
        <v>4.5692220384243551</v>
      </c>
      <c r="X50" s="38">
        <f t="shared" ca="1" si="75"/>
        <v>4.5692220384243551</v>
      </c>
      <c r="Y50" s="38">
        <f t="shared" ca="1" si="75"/>
        <v>4.5692220384243551</v>
      </c>
      <c r="Z50" s="47">
        <f t="shared" ca="1" si="75"/>
        <v>4.5692220384243551</v>
      </c>
      <c r="AA50" s="511">
        <f t="shared" ca="1" si="62"/>
        <v>1</v>
      </c>
      <c r="AB50" s="503">
        <f t="shared" ca="1" si="63"/>
        <v>-302.07057049225477</v>
      </c>
      <c r="AC50" s="70">
        <f t="shared" ca="1" si="64"/>
        <v>1479607.7834483027</v>
      </c>
      <c r="AD50" s="70">
        <f t="shared" ca="1" si="65"/>
        <v>3310.5224502299425</v>
      </c>
      <c r="AE50" s="70">
        <f t="shared" ca="1" si="66"/>
        <v>1350.0368915570575</v>
      </c>
      <c r="AF50" s="504">
        <f t="shared" ca="1" si="67"/>
        <v>6674956.8811998386</v>
      </c>
      <c r="AG50" s="507">
        <f t="shared" ca="1" si="68"/>
        <v>-84.64698573632586</v>
      </c>
      <c r="AH50" s="503">
        <f t="shared" ca="1" si="69"/>
        <v>1445378.3456250289</v>
      </c>
      <c r="AI50" s="504">
        <f t="shared" ca="1" si="70"/>
        <v>6604254.5906912172</v>
      </c>
      <c r="AJ50" s="45">
        <f t="shared" ca="1" si="17"/>
        <v>3.6075519999994867</v>
      </c>
      <c r="AK50" s="464">
        <f t="shared" ca="1" si="71"/>
        <v>4.5692220384243551</v>
      </c>
      <c r="AL50" s="279"/>
    </row>
    <row r="51" spans="1:38" s="14" customFormat="1" ht="12" customHeight="1" x14ac:dyDescent="0.15">
      <c r="A51" s="32">
        <f t="shared" ca="1" si="50"/>
        <v>-1188.9913574400853</v>
      </c>
      <c r="B51" s="32">
        <f t="shared" ca="1" si="51"/>
        <v>1483104.8688118914</v>
      </c>
      <c r="C51" s="32">
        <f t="shared" ca="1" si="52"/>
        <v>968.89264917960099</v>
      </c>
      <c r="D51" s="183">
        <f t="shared" ca="1" si="53"/>
        <v>-202.14998086549474</v>
      </c>
      <c r="E51" s="32">
        <f t="shared" ca="1" si="54"/>
        <v>6700810.1811379874</v>
      </c>
      <c r="F51" s="760">
        <f t="shared" ca="1" si="55"/>
        <v>-751.1979242480038</v>
      </c>
      <c r="G51" s="531">
        <f t="shared" ca="1" si="56"/>
        <v>1450427.6178610402</v>
      </c>
      <c r="H51" s="532">
        <f t="shared" ca="1" si="57"/>
        <v>6630774.4415678773</v>
      </c>
      <c r="I51" s="31">
        <f t="shared" ca="1" si="58"/>
        <v>54</v>
      </c>
      <c r="J51" s="302">
        <f t="shared" ca="1" si="76"/>
        <v>4.5722369303445074</v>
      </c>
      <c r="K51" s="46">
        <f t="shared" ca="1" si="77"/>
        <v>4.5715996854405914</v>
      </c>
      <c r="L51" s="440"/>
      <c r="M51" s="441"/>
      <c r="N51" s="45">
        <f ca="1">IFERROR(IFNEG(INDIRECT(ADDRESS(MATCH(FirstLine+15,RawEntrie,0)+ROW(RawEntrie)+ROW()-20,2))-INDIRECT(ADDRESS(MATCH(1+15,RawEntrie,0)+ROW(RawEntrie)-17,2)),""),"")</f>
        <v>3.6753920000001017</v>
      </c>
      <c r="O51" s="523"/>
      <c r="P51" s="524"/>
      <c r="Q51" s="56"/>
      <c r="R51" s="322">
        <f t="shared" ca="1" si="73"/>
        <v>1450225.4678801748</v>
      </c>
      <c r="S51" s="37">
        <f t="shared" ca="1" si="59"/>
        <v>4.5180960038961882</v>
      </c>
      <c r="T51" s="38">
        <f t="shared" ca="1" si="60"/>
        <v>4.5180960038961882</v>
      </c>
      <c r="U51" s="38">
        <f t="shared" ca="1" si="74"/>
        <v>4.5180960038961882</v>
      </c>
      <c r="V51" s="38">
        <f t="shared" ca="1" si="74"/>
        <v>4.5180960038961882</v>
      </c>
      <c r="W51" s="37">
        <f t="shared" ca="1" si="61"/>
        <v>4.5715996854405914</v>
      </c>
      <c r="X51" s="38">
        <f t="shared" ca="1" si="75"/>
        <v>4.5715996854405914</v>
      </c>
      <c r="Y51" s="38">
        <f t="shared" ca="1" si="75"/>
        <v>4.5715996854405914</v>
      </c>
      <c r="Z51" s="47">
        <f t="shared" ca="1" si="75"/>
        <v>4.5715996854405914</v>
      </c>
      <c r="AA51" s="511">
        <f t="shared" ca="1" si="62"/>
        <v>1</v>
      </c>
      <c r="AB51" s="503">
        <f t="shared" ca="1" si="63"/>
        <v>-1188.9913574400853</v>
      </c>
      <c r="AC51" s="70">
        <f t="shared" ca="1" si="64"/>
        <v>1483104.8688118914</v>
      </c>
      <c r="AD51" s="70">
        <f t="shared" ca="1" si="65"/>
        <v>968.89264917960099</v>
      </c>
      <c r="AE51" s="70">
        <f t="shared" ca="1" si="66"/>
        <v>-202.14998086549474</v>
      </c>
      <c r="AF51" s="504">
        <f t="shared" ca="1" si="67"/>
        <v>6700810.1811379874</v>
      </c>
      <c r="AG51" s="507">
        <f t="shared" ca="1" si="68"/>
        <v>-751.1979242480038</v>
      </c>
      <c r="AH51" s="503">
        <f t="shared" ca="1" si="69"/>
        <v>1450427.6178610402</v>
      </c>
      <c r="AI51" s="504">
        <f t="shared" ca="1" si="70"/>
        <v>6630774.4415678773</v>
      </c>
      <c r="AJ51" s="45">
        <f t="shared" ca="1" si="17"/>
        <v>3.6753920000001017</v>
      </c>
      <c r="AK51" s="464">
        <f t="shared" ca="1" si="71"/>
        <v>4.5715996854405914</v>
      </c>
      <c r="AL51" s="279"/>
    </row>
    <row r="52" spans="1:38" s="14" customFormat="1" ht="12" customHeight="1" x14ac:dyDescent="0.15">
      <c r="A52" s="32">
        <f t="shared" ca="1" si="50"/>
        <v>-729.26545974799592</v>
      </c>
      <c r="B52" s="32">
        <f t="shared" ca="1" si="51"/>
        <v>1478297.7351184723</v>
      </c>
      <c r="C52" s="32">
        <f t="shared" ca="1" si="52"/>
        <v>1805.2350991889507</v>
      </c>
      <c r="D52" s="183">
        <f t="shared" ca="1" si="53"/>
        <v>429.80982550259705</v>
      </c>
      <c r="E52" s="32">
        <f t="shared" ca="1" si="54"/>
        <v>6684998.4918022808</v>
      </c>
      <c r="F52" s="760">
        <f t="shared" ca="1" si="55"/>
        <v>-2264.9210677424539</v>
      </c>
      <c r="G52" s="531">
        <f t="shared" ca="1" si="56"/>
        <v>1444988.524361253</v>
      </c>
      <c r="H52" s="532">
        <f t="shared" ca="1" si="57"/>
        <v>6616476.4753756654</v>
      </c>
      <c r="I52" s="31">
        <f t="shared" ca="1" si="58"/>
        <v>55</v>
      </c>
      <c r="J52" s="302">
        <f t="shared" ca="1" si="76"/>
        <v>4.5775512312830413</v>
      </c>
      <c r="K52" s="46">
        <f t="shared" ca="1" si="77"/>
        <v>4.5789128175259606</v>
      </c>
      <c r="L52" s="440"/>
      <c r="M52" s="441"/>
      <c r="N52" s="45">
        <f ca="1">IFERROR(IFNEG(INDIRECT(ADDRESS(MATCH(FirstLine+15,RawEntrie,0)+ROW(RawEntrie)+ROW()-20,2))-INDIRECT(ADDRESS(MATCH(1+15,RawEntrie,0)+ROW(RawEntrie)-17,2)),""),"")</f>
        <v>3.7434879999996156</v>
      </c>
      <c r="O52" s="523"/>
      <c r="P52" s="524"/>
      <c r="Q52" s="56"/>
      <c r="R52" s="322">
        <f t="shared" ca="1" si="73"/>
        <v>1445418.3341867556</v>
      </c>
      <c r="S52" s="37">
        <f t="shared" ca="1" si="59"/>
        <v>4.522092088077601</v>
      </c>
      <c r="T52" s="38">
        <f t="shared" ca="1" si="60"/>
        <v>4.522092088077601</v>
      </c>
      <c r="U52" s="38">
        <f t="shared" ca="1" si="74"/>
        <v>4.522092088077601</v>
      </c>
      <c r="V52" s="38">
        <f t="shared" ca="1" si="74"/>
        <v>4.522092088077601</v>
      </c>
      <c r="W52" s="37">
        <f t="shared" ca="1" si="61"/>
        <v>4.5789128175259606</v>
      </c>
      <c r="X52" s="38">
        <f t="shared" ca="1" si="75"/>
        <v>4.5789128175259606</v>
      </c>
      <c r="Y52" s="38">
        <f t="shared" ca="1" si="75"/>
        <v>4.5789128175259606</v>
      </c>
      <c r="Z52" s="47">
        <f t="shared" ca="1" si="75"/>
        <v>4.5789128175259606</v>
      </c>
      <c r="AA52" s="511">
        <f t="shared" ca="1" si="62"/>
        <v>1</v>
      </c>
      <c r="AB52" s="503">
        <f t="shared" ca="1" si="63"/>
        <v>-729.26545974799592</v>
      </c>
      <c r="AC52" s="70">
        <f t="shared" ca="1" si="64"/>
        <v>1478297.7351184723</v>
      </c>
      <c r="AD52" s="70">
        <f t="shared" ca="1" si="65"/>
        <v>1805.2350991889507</v>
      </c>
      <c r="AE52" s="70">
        <f t="shared" ca="1" si="66"/>
        <v>429.80982550259705</v>
      </c>
      <c r="AF52" s="504">
        <f t="shared" ca="1" si="67"/>
        <v>6684998.4918022808</v>
      </c>
      <c r="AG52" s="507">
        <f t="shared" ca="1" si="68"/>
        <v>-2264.9210677424539</v>
      </c>
      <c r="AH52" s="503">
        <f t="shared" ca="1" si="69"/>
        <v>1444988.524361253</v>
      </c>
      <c r="AI52" s="504">
        <f t="shared" ca="1" si="70"/>
        <v>6616476.4753756654</v>
      </c>
      <c r="AJ52" s="45">
        <f t="shared" ca="1" si="17"/>
        <v>3.7434879999996156</v>
      </c>
      <c r="AK52" s="464">
        <f t="shared" ca="1" si="71"/>
        <v>4.5789128175259606</v>
      </c>
      <c r="AL52" s="279"/>
    </row>
    <row r="53" spans="1:38" s="14" customFormat="1" ht="12" customHeight="1" x14ac:dyDescent="0.15">
      <c r="A53" s="32">
        <f t="shared" ca="1" si="50"/>
        <v>1125.0402818329894</v>
      </c>
      <c r="B53" s="32">
        <f t="shared" ca="1" si="51"/>
        <v>1480083.5404072662</v>
      </c>
      <c r="C53" s="32">
        <f t="shared" ca="1" si="52"/>
        <v>2144.8948992227088</v>
      </c>
      <c r="D53" s="183">
        <f t="shared" ca="1" si="53"/>
        <v>1591.4391853159423</v>
      </c>
      <c r="E53" s="32">
        <f t="shared" ca="1" si="54"/>
        <v>6674098.9561258275</v>
      </c>
      <c r="F53" s="760">
        <f t="shared" ca="1" si="55"/>
        <v>-1868.1232757813996</v>
      </c>
      <c r="G53" s="531">
        <f t="shared" ca="1" si="56"/>
        <v>1445612.7002902336</v>
      </c>
      <c r="H53" s="532">
        <f t="shared" ca="1" si="57"/>
        <v>6605180.1419072505</v>
      </c>
      <c r="I53" s="31">
        <f t="shared" ca="1" si="58"/>
        <v>56</v>
      </c>
      <c r="J53" s="302">
        <f t="shared" ca="1" si="76"/>
        <v>4.5640970487417851</v>
      </c>
      <c r="K53" s="46">
        <f t="shared" ca="1" si="77"/>
        <v>4.5691215500397426</v>
      </c>
      <c r="L53" s="440"/>
      <c r="M53" s="441"/>
      <c r="N53" s="45">
        <f ca="1">IFERROR(IFNEG(INDIRECT(ADDRESS(MATCH(FirstLine+15,RawEntrie,0)+ROW(RawEntrie)+ROW()-20,2))-INDIRECT(ADDRESS(MATCH(1+15,RawEntrie,0)+ROW(RawEntrie)-17,2)),""),"")</f>
        <v>3.8115839999995842</v>
      </c>
      <c r="O53" s="523"/>
      <c r="P53" s="524"/>
      <c r="Q53" s="56"/>
      <c r="R53" s="322">
        <f t="shared" ca="1" si="73"/>
        <v>1447204.1394755496</v>
      </c>
      <c r="S53" s="37">
        <f t="shared" ref="S53:S77" ca="1" si="78">IFERROR(IF(E53&gt;LimitSignB11b,E53/B53,""),"")</f>
        <v>4.5092717903540454</v>
      </c>
      <c r="T53" s="38">
        <f t="shared" ca="1" si="60"/>
        <v>4.5092717903540454</v>
      </c>
      <c r="U53" s="38">
        <f t="shared" ca="1" si="74"/>
        <v>4.5092717903540454</v>
      </c>
      <c r="V53" s="38">
        <f t="shared" ca="1" si="74"/>
        <v>4.5092717903540454</v>
      </c>
      <c r="W53" s="37">
        <f t="shared" ref="W53:W77" ca="1" si="79">IFERROR(IF(E53&gt;LimitSignB11b,H53/G53,""),"")</f>
        <v>4.5691215500397426</v>
      </c>
      <c r="X53" s="38">
        <f t="shared" ca="1" si="75"/>
        <v>4.5691215500397426</v>
      </c>
      <c r="Y53" s="38">
        <f t="shared" ca="1" si="75"/>
        <v>4.5691215500397426</v>
      </c>
      <c r="Z53" s="47">
        <f t="shared" ca="1" si="75"/>
        <v>4.5691215500397426</v>
      </c>
      <c r="AA53" s="511">
        <f t="shared" ref="AA53:AA77" ca="1" si="80">IF(K53&lt;&gt;"",1,"")</f>
        <v>1</v>
      </c>
      <c r="AB53" s="503">
        <f t="shared" ref="AB53:AB77" ca="1" si="81">IF($AA53=1,A53," ")</f>
        <v>1125.0402818329894</v>
      </c>
      <c r="AC53" s="70">
        <f t="shared" ref="AC53:AC77" ca="1" si="82">IF($AA53=1,B53," ")</f>
        <v>1480083.5404072662</v>
      </c>
      <c r="AD53" s="70">
        <f t="shared" ref="AD53:AD77" ca="1" si="83">IF($AA53=1,C53," ")</f>
        <v>2144.8948992227088</v>
      </c>
      <c r="AE53" s="70">
        <f t="shared" ref="AE53:AE77" ca="1" si="84">IF($AA53=1,D53," ")</f>
        <v>1591.4391853159423</v>
      </c>
      <c r="AF53" s="504">
        <f t="shared" ref="AF53:AF77" ca="1" si="85">IF($AA53=1,E53," ")</f>
        <v>6674098.9561258275</v>
      </c>
      <c r="AG53" s="507">
        <f t="shared" ref="AG53:AG77" ca="1" si="86">IF($AA53=1,F53," ")</f>
        <v>-1868.1232757813996</v>
      </c>
      <c r="AH53" s="503">
        <f t="shared" ref="AH53:AH77" ca="1" si="87">IF($AA53=1,G53," ")</f>
        <v>1445612.7002902336</v>
      </c>
      <c r="AI53" s="504">
        <f t="shared" ref="AI53:AI77" ca="1" si="88">IF($AA53=1,H53," ")</f>
        <v>6605180.1419072505</v>
      </c>
      <c r="AJ53" s="45">
        <f t="shared" ca="1" si="17"/>
        <v>3.8115839999995842</v>
      </c>
      <c r="AK53" s="464">
        <f t="shared" ref="AK53:AK77" ca="1" si="89">IF(K53="",NA(),K53)</f>
        <v>4.5691215500397426</v>
      </c>
      <c r="AL53" s="279"/>
    </row>
    <row r="54" spans="1:38" s="14" customFormat="1" ht="12" customHeight="1" x14ac:dyDescent="0.15">
      <c r="A54" s="32">
        <f t="shared" ca="1" si="50"/>
        <v>1920.411157849303</v>
      </c>
      <c r="B54" s="32">
        <f t="shared" ca="1" si="51"/>
        <v>1486278.0090911626</v>
      </c>
      <c r="C54" s="32">
        <f t="shared" ca="1" si="52"/>
        <v>-1649.8995752508927</v>
      </c>
      <c r="D54" s="183">
        <f t="shared" ca="1" si="53"/>
        <v>287.64018969568542</v>
      </c>
      <c r="E54" s="32">
        <f t="shared" ca="1" si="54"/>
        <v>6722500.2205930613</v>
      </c>
      <c r="F54" s="760">
        <f t="shared" ca="1" si="55"/>
        <v>-2650.9939167663119</v>
      </c>
      <c r="G54" s="531">
        <f t="shared" ca="1" si="56"/>
        <v>1453110.9679697503</v>
      </c>
      <c r="H54" s="532">
        <f t="shared" ca="1" si="57"/>
        <v>6654364.27701547</v>
      </c>
      <c r="I54" s="31">
        <f t="shared" ca="1" si="58"/>
        <v>57</v>
      </c>
      <c r="J54" s="302">
        <f t="shared" ca="1" si="76"/>
        <v>4.5784853787925526</v>
      </c>
      <c r="K54" s="46">
        <f t="shared" ca="1" si="77"/>
        <v>4.5793916801225292</v>
      </c>
      <c r="L54" s="440"/>
      <c r="M54" s="441"/>
      <c r="N54" s="45">
        <f ca="1">IFERROR(IFNEG(INDIRECT(ADDRESS(MATCH(FirstLine+15,RawEntrie,0)+ROW(RawEntrie)+ROW()-20,2))-INDIRECT(ADDRESS(MATCH(1+15,RawEntrie,0)+ROW(RawEntrie)-17,2)),""),"")</f>
        <v>3.8796799999995528</v>
      </c>
      <c r="O54" s="523"/>
      <c r="P54" s="524"/>
      <c r="Q54" s="56"/>
      <c r="R54" s="322">
        <f t="shared" ca="1" si="73"/>
        <v>1453398.6081594459</v>
      </c>
      <c r="S54" s="37">
        <f t="shared" ca="1" si="78"/>
        <v>4.5230435890683554</v>
      </c>
      <c r="T54" s="38">
        <f t="shared" ca="1" si="60"/>
        <v>4.5230435890683554</v>
      </c>
      <c r="U54" s="38">
        <f t="shared" ca="1" si="74"/>
        <v>4.5230435890683554</v>
      </c>
      <c r="V54" s="38">
        <f t="shared" ca="1" si="74"/>
        <v>4.5230435890683554</v>
      </c>
      <c r="W54" s="37">
        <f t="shared" ca="1" si="79"/>
        <v>4.5793916801225292</v>
      </c>
      <c r="X54" s="38">
        <f t="shared" ca="1" si="75"/>
        <v>4.5793916801225292</v>
      </c>
      <c r="Y54" s="38">
        <f t="shared" ca="1" si="75"/>
        <v>4.5793916801225292</v>
      </c>
      <c r="Z54" s="47">
        <f t="shared" ca="1" si="75"/>
        <v>4.5793916801225292</v>
      </c>
      <c r="AA54" s="511">
        <f t="shared" ca="1" si="80"/>
        <v>1</v>
      </c>
      <c r="AB54" s="503">
        <f t="shared" ca="1" si="81"/>
        <v>1920.411157849303</v>
      </c>
      <c r="AC54" s="70">
        <f t="shared" ca="1" si="82"/>
        <v>1486278.0090911626</v>
      </c>
      <c r="AD54" s="70">
        <f t="shared" ca="1" si="83"/>
        <v>-1649.8995752508927</v>
      </c>
      <c r="AE54" s="70">
        <f t="shared" ca="1" si="84"/>
        <v>287.64018969568542</v>
      </c>
      <c r="AF54" s="504">
        <f t="shared" ca="1" si="85"/>
        <v>6722500.2205930613</v>
      </c>
      <c r="AG54" s="507">
        <f t="shared" ca="1" si="86"/>
        <v>-2650.9939167663119</v>
      </c>
      <c r="AH54" s="503">
        <f t="shared" ca="1" si="87"/>
        <v>1453110.9679697503</v>
      </c>
      <c r="AI54" s="504">
        <f t="shared" ca="1" si="88"/>
        <v>6654364.27701547</v>
      </c>
      <c r="AJ54" s="45">
        <f t="shared" ca="1" si="17"/>
        <v>3.8796799999995528</v>
      </c>
      <c r="AK54" s="464">
        <f t="shared" ca="1" si="89"/>
        <v>4.5793916801225292</v>
      </c>
      <c r="AL54" s="279"/>
    </row>
    <row r="55" spans="1:38" s="14" customFormat="1" ht="12" customHeight="1" x14ac:dyDescent="0.15">
      <c r="A55" s="32">
        <f t="shared" ca="1" si="50"/>
        <v>3284.4442554825728</v>
      </c>
      <c r="B55" s="32">
        <f t="shared" ca="1" si="51"/>
        <v>1490095.2469536932</v>
      </c>
      <c r="C55" s="32">
        <f t="shared" ca="1" si="52"/>
        <v>286.29994423053722</v>
      </c>
      <c r="D55" s="183">
        <f t="shared" ca="1" si="53"/>
        <v>1913.3358686513398</v>
      </c>
      <c r="E55" s="32">
        <f t="shared" ca="1" si="54"/>
        <v>6735898.108735661</v>
      </c>
      <c r="F55" s="760">
        <f t="shared" ca="1" si="55"/>
        <v>-227.087526107739</v>
      </c>
      <c r="G55" s="531">
        <f t="shared" ca="1" si="56"/>
        <v>1455302.5101533253</v>
      </c>
      <c r="H55" s="532">
        <f t="shared" ca="1" si="57"/>
        <v>6665338.2587674111</v>
      </c>
      <c r="I55" s="31">
        <f t="shared" ca="1" si="58"/>
        <v>58</v>
      </c>
      <c r="J55" s="302">
        <f t="shared" ca="1" si="76"/>
        <v>4.5740226315565948</v>
      </c>
      <c r="K55" s="46">
        <f t="shared" ca="1" si="77"/>
        <v>4.580036255187367</v>
      </c>
      <c r="L55" s="440"/>
      <c r="M55" s="441"/>
      <c r="N55" s="45">
        <f ca="1">IFERROR(IFNEG(INDIRECT(ADDRESS(MATCH(FirstLine+15,RawEntrie,0)+ROW(RawEntrie)+ROW()-20,2))-INDIRECT(ADDRESS(MATCH(1+15,RawEntrie,0)+ROW(RawEntrie)-17,2)),""),"")</f>
        <v>3.9477759999995214</v>
      </c>
      <c r="O55" s="523"/>
      <c r="P55" s="524"/>
      <c r="Q55" s="56"/>
      <c r="R55" s="322">
        <f t="shared" ca="1" si="73"/>
        <v>1457215.8460219766</v>
      </c>
      <c r="S55" s="37">
        <f t="shared" ca="1" si="78"/>
        <v>4.520448020021762</v>
      </c>
      <c r="T55" s="38">
        <f t="shared" ca="1" si="60"/>
        <v>4.520448020021762</v>
      </c>
      <c r="U55" s="38">
        <f t="shared" ca="1" si="74"/>
        <v>4.520448020021762</v>
      </c>
      <c r="V55" s="38">
        <f t="shared" ca="1" si="74"/>
        <v>4.520448020021762</v>
      </c>
      <c r="W55" s="37">
        <f t="shared" ca="1" si="79"/>
        <v>4.580036255187367</v>
      </c>
      <c r="X55" s="38">
        <f t="shared" ca="1" si="75"/>
        <v>4.580036255187367</v>
      </c>
      <c r="Y55" s="38">
        <f t="shared" ca="1" si="75"/>
        <v>4.580036255187367</v>
      </c>
      <c r="Z55" s="47">
        <f t="shared" ca="1" si="75"/>
        <v>4.580036255187367</v>
      </c>
      <c r="AA55" s="511">
        <f t="shared" ca="1" si="80"/>
        <v>1</v>
      </c>
      <c r="AB55" s="503">
        <f t="shared" ca="1" si="81"/>
        <v>3284.4442554825728</v>
      </c>
      <c r="AC55" s="70">
        <f t="shared" ca="1" si="82"/>
        <v>1490095.2469536932</v>
      </c>
      <c r="AD55" s="70">
        <f t="shared" ca="1" si="83"/>
        <v>286.29994423053722</v>
      </c>
      <c r="AE55" s="70">
        <f t="shared" ca="1" si="84"/>
        <v>1913.3358686513398</v>
      </c>
      <c r="AF55" s="504">
        <f t="shared" ca="1" si="85"/>
        <v>6735898.108735661</v>
      </c>
      <c r="AG55" s="507">
        <f t="shared" ca="1" si="86"/>
        <v>-227.087526107739</v>
      </c>
      <c r="AH55" s="503">
        <f t="shared" ca="1" si="87"/>
        <v>1455302.5101533253</v>
      </c>
      <c r="AI55" s="504">
        <f t="shared" ca="1" si="88"/>
        <v>6665338.2587674111</v>
      </c>
      <c r="AJ55" s="45">
        <f t="shared" ca="1" si="17"/>
        <v>3.9477759999995214</v>
      </c>
      <c r="AK55" s="464">
        <f t="shared" ca="1" si="89"/>
        <v>4.580036255187367</v>
      </c>
      <c r="AL55" s="279"/>
    </row>
    <row r="56" spans="1:38" s="14" customFormat="1" ht="12" customHeight="1" x14ac:dyDescent="0.15">
      <c r="A56" s="32">
        <f t="shared" ca="1" si="50"/>
        <v>753.91788331632415</v>
      </c>
      <c r="B56" s="32">
        <f t="shared" ca="1" si="51"/>
        <v>1495026.3063880622</v>
      </c>
      <c r="C56" s="32">
        <f t="shared" ca="1" si="52"/>
        <v>1767.3686528099242</v>
      </c>
      <c r="D56" s="183">
        <f t="shared" ca="1" si="53"/>
        <v>1217.3881854222827</v>
      </c>
      <c r="E56" s="32">
        <f t="shared" ca="1" si="54"/>
        <v>6749831.7038815729</v>
      </c>
      <c r="F56" s="760">
        <f t="shared" ca="1" si="55"/>
        <v>-528.92332756472479</v>
      </c>
      <c r="G56" s="531">
        <f t="shared" ca="1" si="56"/>
        <v>1460929.5172709234</v>
      </c>
      <c r="H56" s="532">
        <f t="shared" ca="1" si="57"/>
        <v>6679573.6897147791</v>
      </c>
      <c r="I56" s="31">
        <f t="shared" ca="1" si="58"/>
        <v>59</v>
      </c>
      <c r="J56" s="302">
        <f t="shared" ca="1" si="76"/>
        <v>4.5683328157987253</v>
      </c>
      <c r="K56" s="46">
        <f t="shared" ca="1" si="77"/>
        <v>4.5721395938337244</v>
      </c>
      <c r="L56" s="440"/>
      <c r="M56" s="441"/>
      <c r="N56" s="45">
        <f ca="1">IFERROR(IFNEG(INDIRECT(ADDRESS(MATCH(FirstLine+15,RawEntrie,0)+ROW(RawEntrie)+ROW()-20,2))-INDIRECT(ADDRESS(MATCH(1+15,RawEntrie,0)+ROW(RawEntrie)-17,2)),""),"")</f>
        <v>4.0156159999996817</v>
      </c>
      <c r="O56" s="523"/>
      <c r="P56" s="524"/>
      <c r="Q56" s="56"/>
      <c r="R56" s="322">
        <f t="shared" ca="1" si="73"/>
        <v>1462146.9054563455</v>
      </c>
      <c r="S56" s="37">
        <f t="shared" ca="1" si="78"/>
        <v>4.514858150014069</v>
      </c>
      <c r="T56" s="38">
        <f t="shared" ca="1" si="60"/>
        <v>4.514858150014069</v>
      </c>
      <c r="U56" s="38">
        <f t="shared" ca="1" si="74"/>
        <v>4.514858150014069</v>
      </c>
      <c r="V56" s="38">
        <f t="shared" ca="1" si="74"/>
        <v>4.514858150014069</v>
      </c>
      <c r="W56" s="37">
        <f t="shared" ca="1" si="79"/>
        <v>4.5721395938337244</v>
      </c>
      <c r="X56" s="38">
        <f t="shared" ca="1" si="75"/>
        <v>4.5721395938337244</v>
      </c>
      <c r="Y56" s="38">
        <f t="shared" ca="1" si="75"/>
        <v>4.5721395938337244</v>
      </c>
      <c r="Z56" s="47">
        <f t="shared" ca="1" si="75"/>
        <v>4.5721395938337244</v>
      </c>
      <c r="AA56" s="511">
        <f t="shared" ca="1" si="80"/>
        <v>1</v>
      </c>
      <c r="AB56" s="503">
        <f t="shared" ca="1" si="81"/>
        <v>753.91788331632415</v>
      </c>
      <c r="AC56" s="70">
        <f t="shared" ca="1" si="82"/>
        <v>1495026.3063880622</v>
      </c>
      <c r="AD56" s="70">
        <f t="shared" ca="1" si="83"/>
        <v>1767.3686528099242</v>
      </c>
      <c r="AE56" s="70">
        <f t="shared" ca="1" si="84"/>
        <v>1217.3881854222827</v>
      </c>
      <c r="AF56" s="504">
        <f t="shared" ca="1" si="85"/>
        <v>6749831.7038815729</v>
      </c>
      <c r="AG56" s="507">
        <f t="shared" ca="1" si="86"/>
        <v>-528.92332756472479</v>
      </c>
      <c r="AH56" s="503">
        <f t="shared" ca="1" si="87"/>
        <v>1460929.5172709234</v>
      </c>
      <c r="AI56" s="504">
        <f t="shared" ca="1" si="88"/>
        <v>6679573.6897147791</v>
      </c>
      <c r="AJ56" s="45">
        <f t="shared" ca="1" si="17"/>
        <v>4.0156159999996817</v>
      </c>
      <c r="AK56" s="464">
        <f t="shared" ca="1" si="89"/>
        <v>4.5721395938337244</v>
      </c>
      <c r="AL56" s="279"/>
    </row>
    <row r="57" spans="1:38" s="14" customFormat="1" ht="12" customHeight="1" x14ac:dyDescent="0.15">
      <c r="A57" s="32">
        <f t="shared" ca="1" si="50"/>
        <v>1356.9244748565507</v>
      </c>
      <c r="B57" s="32">
        <f t="shared" ca="1" si="51"/>
        <v>1485981.7011081744</v>
      </c>
      <c r="C57" s="32">
        <f t="shared" ca="1" si="52"/>
        <v>-308.48568157744739</v>
      </c>
      <c r="D57" s="183">
        <f t="shared" ca="1" si="53"/>
        <v>595.30075166525739</v>
      </c>
      <c r="E57" s="32">
        <f t="shared" ca="1" si="54"/>
        <v>6748578.1141825486</v>
      </c>
      <c r="F57" s="760">
        <f t="shared" ca="1" si="55"/>
        <v>2160.9925892781903</v>
      </c>
      <c r="G57" s="531">
        <f t="shared" ca="1" si="56"/>
        <v>1452506.9994247926</v>
      </c>
      <c r="H57" s="532">
        <f t="shared" ca="1" si="57"/>
        <v>6675630.1840989124</v>
      </c>
      <c r="I57" s="31">
        <f t="shared" ca="1" si="58"/>
        <v>60</v>
      </c>
      <c r="J57" s="302"/>
      <c r="K57" s="46"/>
      <c r="L57" s="440"/>
      <c r="M57" s="441"/>
      <c r="N57" s="45">
        <f ca="1">IFERROR(IFNEG(INDIRECT(ADDRESS(MATCH(FirstLine+15,RawEntrie,0)+ROW(RawEntrie)+ROW()-20,2))-INDIRECT(ADDRESS(MATCH(1+15,RawEntrie,0)+ROW(RawEntrie)-17,2)),""),"")</f>
        <v>4.0837119999996503</v>
      </c>
      <c r="O57" s="523"/>
      <c r="P57" s="524"/>
      <c r="Q57" s="56"/>
      <c r="R57" s="322">
        <f t="shared" ca="1" si="73"/>
        <v>1453102.3001764577</v>
      </c>
      <c r="S57" s="37">
        <f t="shared" ca="1" si="78"/>
        <v>4.5414947634616096</v>
      </c>
      <c r="T57" s="38" t="str">
        <f t="shared" ca="1" si="60"/>
        <v/>
      </c>
      <c r="U57" s="38" t="str">
        <f t="shared" ca="1" si="74"/>
        <v/>
      </c>
      <c r="V57" s="38" t="str">
        <f t="shared" ca="1" si="74"/>
        <v/>
      </c>
      <c r="W57" s="37">
        <f t="shared" ca="1" si="79"/>
        <v>4.5959366713843917</v>
      </c>
      <c r="X57" s="38" t="str">
        <f t="shared" ca="1" si="75"/>
        <v/>
      </c>
      <c r="Y57" s="38" t="str">
        <f t="shared" ca="1" si="75"/>
        <v/>
      </c>
      <c r="Z57" s="47" t="str">
        <f t="shared" ca="1" si="75"/>
        <v/>
      </c>
      <c r="AA57" s="511" t="str">
        <f t="shared" si="80"/>
        <v/>
      </c>
      <c r="AB57" s="503" t="str">
        <f t="shared" si="81"/>
        <v xml:space="preserve"> </v>
      </c>
      <c r="AC57" s="70" t="str">
        <f t="shared" si="82"/>
        <v xml:space="preserve"> </v>
      </c>
      <c r="AD57" s="70" t="str">
        <f t="shared" si="83"/>
        <v xml:space="preserve"> </v>
      </c>
      <c r="AE57" s="70" t="str">
        <f t="shared" si="84"/>
        <v xml:space="preserve"> </v>
      </c>
      <c r="AF57" s="504" t="str">
        <f t="shared" si="85"/>
        <v xml:space="preserve"> </v>
      </c>
      <c r="AG57" s="507" t="str">
        <f t="shared" si="86"/>
        <v xml:space="preserve"> </v>
      </c>
      <c r="AH57" s="503" t="str">
        <f t="shared" si="87"/>
        <v xml:space="preserve"> </v>
      </c>
      <c r="AI57" s="504" t="str">
        <f t="shared" si="88"/>
        <v xml:space="preserve"> </v>
      </c>
      <c r="AJ57" s="45">
        <f t="shared" ca="1" si="17"/>
        <v>4.0837119999996503</v>
      </c>
      <c r="AK57" s="464" t="e">
        <f t="shared" si="89"/>
        <v>#N/A</v>
      </c>
      <c r="AL57" s="279"/>
    </row>
    <row r="58" spans="1:38" s="14" customFormat="1" ht="12" customHeight="1" x14ac:dyDescent="0.15">
      <c r="A58" s="32">
        <f t="shared" ca="1" si="50"/>
        <v>1943.0756852211452</v>
      </c>
      <c r="B58" s="32">
        <f t="shared" ca="1" si="51"/>
        <v>1470229.5962147289</v>
      </c>
      <c r="C58" s="32">
        <f t="shared" ca="1" si="52"/>
        <v>-615.85696225868014</v>
      </c>
      <c r="D58" s="183">
        <f t="shared" ca="1" si="53"/>
        <v>772.82714143752492</v>
      </c>
      <c r="E58" s="32">
        <f t="shared" ca="1" si="54"/>
        <v>6666404.388589358</v>
      </c>
      <c r="F58" s="760">
        <f t="shared" ca="1" si="55"/>
        <v>-1423.1166602941785</v>
      </c>
      <c r="G58" s="531">
        <f t="shared" ca="1" si="56"/>
        <v>1436577.3681415748</v>
      </c>
      <c r="H58" s="532">
        <f t="shared" ca="1" si="57"/>
        <v>6597040.567755294</v>
      </c>
      <c r="I58" s="31">
        <f t="shared" ca="1" si="58"/>
        <v>61</v>
      </c>
      <c r="J58" s="302"/>
      <c r="K58" s="46"/>
      <c r="L58" s="440"/>
      <c r="M58" s="441"/>
      <c r="N58" s="45">
        <f ca="1">IFERROR(IFNEG(INDIRECT(ADDRESS(MATCH(FirstLine+15,RawEntrie,0)+ROW(RawEntrie)+ROW()-20,2))-INDIRECT(ADDRESS(MATCH(1+15,RawEntrie,0)+ROW(RawEntrie)-17,2)),""),"")</f>
        <v>4.1518079999996189</v>
      </c>
      <c r="O58" s="523"/>
      <c r="P58" s="524"/>
      <c r="Q58" s="56"/>
      <c r="R58" s="322">
        <f t="shared" ca="1" si="73"/>
        <v>1437350.1952830122</v>
      </c>
      <c r="S58" s="37">
        <f t="shared" ca="1" si="78"/>
        <v>4.5342607751556381</v>
      </c>
      <c r="T58" s="38">
        <f t="shared" ca="1" si="60"/>
        <v>4.5342607751556381</v>
      </c>
      <c r="U58" s="38">
        <f t="shared" ca="1" si="74"/>
        <v>4.5342607751556381</v>
      </c>
      <c r="V58" s="38" t="str">
        <f t="shared" ca="1" si="74"/>
        <v/>
      </c>
      <c r="W58" s="37">
        <f t="shared" ca="1" si="79"/>
        <v>4.5921930235400694</v>
      </c>
      <c r="X58" s="38">
        <f t="shared" ca="1" si="75"/>
        <v>4.5921930235400694</v>
      </c>
      <c r="Y58" s="38" t="str">
        <f t="shared" ca="1" si="75"/>
        <v/>
      </c>
      <c r="Z58" s="47" t="str">
        <f t="shared" ca="1" si="75"/>
        <v/>
      </c>
      <c r="AA58" s="511" t="str">
        <f t="shared" si="80"/>
        <v/>
      </c>
      <c r="AB58" s="503" t="str">
        <f t="shared" si="81"/>
        <v xml:space="preserve"> </v>
      </c>
      <c r="AC58" s="70" t="str">
        <f t="shared" si="82"/>
        <v xml:space="preserve"> </v>
      </c>
      <c r="AD58" s="70" t="str">
        <f t="shared" si="83"/>
        <v xml:space="preserve"> </v>
      </c>
      <c r="AE58" s="70" t="str">
        <f t="shared" si="84"/>
        <v xml:space="preserve"> </v>
      </c>
      <c r="AF58" s="504" t="str">
        <f t="shared" si="85"/>
        <v xml:space="preserve"> </v>
      </c>
      <c r="AG58" s="507" t="str">
        <f t="shared" si="86"/>
        <v xml:space="preserve"> </v>
      </c>
      <c r="AH58" s="503" t="str">
        <f t="shared" si="87"/>
        <v xml:space="preserve"> </v>
      </c>
      <c r="AI58" s="504" t="str">
        <f t="shared" si="88"/>
        <v xml:space="preserve"> </v>
      </c>
      <c r="AJ58" s="45">
        <f t="shared" ca="1" si="17"/>
        <v>4.1518079999996189</v>
      </c>
      <c r="AK58" s="464" t="e">
        <f t="shared" si="89"/>
        <v>#N/A</v>
      </c>
      <c r="AL58" s="279"/>
    </row>
    <row r="59" spans="1:38" s="14" customFormat="1" ht="12" customHeight="1" x14ac:dyDescent="0.15">
      <c r="A59" s="32">
        <f t="shared" ca="1" si="50"/>
        <v>4340.1632844605883</v>
      </c>
      <c r="B59" s="32">
        <f t="shared" ca="1" si="51"/>
        <v>1456611.4247206955</v>
      </c>
      <c r="C59" s="32">
        <f t="shared" ca="1" si="52"/>
        <v>-2445.7915362623426</v>
      </c>
      <c r="D59" s="183">
        <f t="shared" ca="1" si="53"/>
        <v>1236.8171471742385</v>
      </c>
      <c r="E59" s="32">
        <f t="shared" ca="1" si="54"/>
        <v>6590879.0674944678</v>
      </c>
      <c r="F59" s="760">
        <f t="shared" ca="1" si="55"/>
        <v>-1426.9174052309263</v>
      </c>
      <c r="G59" s="531">
        <f t="shared" ca="1" si="56"/>
        <v>1422495.2066418047</v>
      </c>
      <c r="H59" s="532">
        <f t="shared" ca="1" si="57"/>
        <v>6521519.0474053407</v>
      </c>
      <c r="I59" s="31">
        <f t="shared" ca="1" si="58"/>
        <v>62</v>
      </c>
      <c r="J59" s="302">
        <f ca="1">IFERROR((_11Bback)/(_10Bcorr),"")</f>
        <v>4.5805804311752558</v>
      </c>
      <c r="K59" s="46">
        <f t="shared" ref="K59:K69" ca="1" si="90">IFERROR((_11Bback)/(_10Bback),"")</f>
        <v>4.5845631092151091</v>
      </c>
      <c r="L59" s="440"/>
      <c r="M59" s="441"/>
      <c r="N59" s="45">
        <f ca="1">IFERROR(IFNEG(INDIRECT(ADDRESS(MATCH(FirstLine+15,RawEntrie,0)+ROW(RawEntrie)+ROW()-20,2))-INDIRECT(ADDRESS(MATCH(1+15,RawEntrie,0)+ROW(RawEntrie)-17,2)),""),"")</f>
        <v>4.2201599999993959</v>
      </c>
      <c r="O59" s="523"/>
      <c r="P59" s="524"/>
      <c r="Q59" s="56"/>
      <c r="R59" s="322">
        <f t="shared" ca="1" si="73"/>
        <v>1423732.0237889788</v>
      </c>
      <c r="S59" s="37">
        <f t="shared" ca="1" si="78"/>
        <v>4.5248025352803101</v>
      </c>
      <c r="T59" s="38">
        <f t="shared" ca="1" si="60"/>
        <v>4.5248025352803101</v>
      </c>
      <c r="U59" s="38">
        <f t="shared" ca="1" si="74"/>
        <v>4.5248025352803101</v>
      </c>
      <c r="V59" s="38">
        <f t="shared" ca="1" si="74"/>
        <v>4.5248025352803101</v>
      </c>
      <c r="W59" s="37">
        <f t="shared" ca="1" si="79"/>
        <v>4.5845631092151091</v>
      </c>
      <c r="X59" s="38">
        <f t="shared" ca="1" si="75"/>
        <v>4.5845631092151091</v>
      </c>
      <c r="Y59" s="38">
        <f t="shared" ca="1" si="75"/>
        <v>4.5845631092151091</v>
      </c>
      <c r="Z59" s="47">
        <f t="shared" ca="1" si="75"/>
        <v>4.5845631092151091</v>
      </c>
      <c r="AA59" s="511">
        <f t="shared" ca="1" si="80"/>
        <v>1</v>
      </c>
      <c r="AB59" s="503">
        <f t="shared" ca="1" si="81"/>
        <v>4340.1632844605883</v>
      </c>
      <c r="AC59" s="70">
        <f t="shared" ca="1" si="82"/>
        <v>1456611.4247206955</v>
      </c>
      <c r="AD59" s="70">
        <f t="shared" ca="1" si="83"/>
        <v>-2445.7915362623426</v>
      </c>
      <c r="AE59" s="70">
        <f t="shared" ca="1" si="84"/>
        <v>1236.8171471742385</v>
      </c>
      <c r="AF59" s="504">
        <f t="shared" ca="1" si="85"/>
        <v>6590879.0674944678</v>
      </c>
      <c r="AG59" s="507">
        <f t="shared" ca="1" si="86"/>
        <v>-1426.9174052309263</v>
      </c>
      <c r="AH59" s="503">
        <f t="shared" ca="1" si="87"/>
        <v>1422495.2066418047</v>
      </c>
      <c r="AI59" s="504">
        <f t="shared" ca="1" si="88"/>
        <v>6521519.0474053407</v>
      </c>
      <c r="AJ59" s="45">
        <f t="shared" ca="1" si="17"/>
        <v>4.2201599999993959</v>
      </c>
      <c r="AK59" s="464">
        <f t="shared" ca="1" si="89"/>
        <v>4.5845631092151091</v>
      </c>
      <c r="AL59" s="279"/>
    </row>
    <row r="60" spans="1:38" s="14" customFormat="1" ht="12" customHeight="1" x14ac:dyDescent="0.15">
      <c r="A60" s="32">
        <f t="shared" ca="1" si="50"/>
        <v>105.75033727655682</v>
      </c>
      <c r="B60" s="32">
        <f t="shared" ca="1" si="51"/>
        <v>1461298.6223108834</v>
      </c>
      <c r="C60" s="32">
        <f t="shared" ca="1" si="52"/>
        <v>416.15414484082066</v>
      </c>
      <c r="D60" s="183">
        <f t="shared" ca="1" si="53"/>
        <v>247.70389910426599</v>
      </c>
      <c r="E60" s="32">
        <f t="shared" ca="1" si="54"/>
        <v>6618334.8387501072</v>
      </c>
      <c r="F60" s="760">
        <f t="shared" ca="1" si="55"/>
        <v>-1981.4888132887581</v>
      </c>
      <c r="G60" s="531">
        <f t="shared" ca="1" si="56"/>
        <v>1428171.5174800623</v>
      </c>
      <c r="H60" s="532">
        <f t="shared" ca="1" si="57"/>
        <v>6549529.3900690377</v>
      </c>
      <c r="I60" s="31">
        <f t="shared" ca="1" si="58"/>
        <v>63</v>
      </c>
      <c r="J60" s="302"/>
      <c r="K60" s="46">
        <f t="shared" ca="1" si="90"/>
        <v>4.5859543548560309</v>
      </c>
      <c r="L60" s="440"/>
      <c r="M60" s="441"/>
      <c r="N60" s="45">
        <f ca="1">IFERROR(IFNEG(INDIRECT(ADDRESS(MATCH(FirstLine+15,RawEntrie,0)+ROW(RawEntrie)+ROW()-20,2))-INDIRECT(ADDRESS(MATCH(1+15,RawEntrie,0)+ROW(RawEntrie)-17,2)),""),"")</f>
        <v>4.2882559999993646</v>
      </c>
      <c r="O60" s="523"/>
      <c r="P60" s="524"/>
      <c r="Q60" s="56"/>
      <c r="R60" s="322">
        <f t="shared" ca="1" si="73"/>
        <v>1428419.2213791667</v>
      </c>
      <c r="S60" s="37">
        <f t="shared" ca="1" si="78"/>
        <v>4.5290775873612592</v>
      </c>
      <c r="T60" s="38">
        <f t="shared" ca="1" si="60"/>
        <v>4.5290775873612592</v>
      </c>
      <c r="U60" s="38">
        <f t="shared" ca="1" si="74"/>
        <v>4.5290775873612592</v>
      </c>
      <c r="V60" s="38">
        <f t="shared" ca="1" si="74"/>
        <v>4.5290775873612592</v>
      </c>
      <c r="W60" s="37">
        <f t="shared" ca="1" si="79"/>
        <v>4.5859543548560309</v>
      </c>
      <c r="X60" s="38">
        <f t="shared" ca="1" si="75"/>
        <v>4.5859543548560309</v>
      </c>
      <c r="Y60" s="38">
        <f t="shared" ca="1" si="75"/>
        <v>4.5859543548560309</v>
      </c>
      <c r="Z60" s="47">
        <f t="shared" ca="1" si="75"/>
        <v>4.5859543548560309</v>
      </c>
      <c r="AA60" s="511">
        <f t="shared" ca="1" si="80"/>
        <v>1</v>
      </c>
      <c r="AB60" s="503">
        <f t="shared" ca="1" si="81"/>
        <v>105.75033727655682</v>
      </c>
      <c r="AC60" s="70">
        <f t="shared" ca="1" si="82"/>
        <v>1461298.6223108834</v>
      </c>
      <c r="AD60" s="70">
        <f t="shared" ca="1" si="83"/>
        <v>416.15414484082066</v>
      </c>
      <c r="AE60" s="70">
        <f t="shared" ca="1" si="84"/>
        <v>247.70389910426599</v>
      </c>
      <c r="AF60" s="504">
        <f t="shared" ca="1" si="85"/>
        <v>6618334.8387501072</v>
      </c>
      <c r="AG60" s="507">
        <f t="shared" ca="1" si="86"/>
        <v>-1981.4888132887581</v>
      </c>
      <c r="AH60" s="503">
        <f t="shared" ca="1" si="87"/>
        <v>1428171.5174800623</v>
      </c>
      <c r="AI60" s="504">
        <f t="shared" ca="1" si="88"/>
        <v>6549529.3900690377</v>
      </c>
      <c r="AJ60" s="45">
        <f t="shared" ca="1" si="17"/>
        <v>4.2882559999993646</v>
      </c>
      <c r="AK60" s="464">
        <f t="shared" ca="1" si="89"/>
        <v>4.5859543548560309</v>
      </c>
      <c r="AL60" s="279"/>
    </row>
    <row r="61" spans="1:38" s="14" customFormat="1" ht="12" customHeight="1" x14ac:dyDescent="0.15">
      <c r="A61" s="32">
        <f t="shared" ca="1" si="50"/>
        <v>-1459.0825315190887</v>
      </c>
      <c r="B61" s="32">
        <f t="shared" ca="1" si="51"/>
        <v>1475654.5922197809</v>
      </c>
      <c r="C61" s="32">
        <f t="shared" ca="1" si="52"/>
        <v>1340.8859783096304</v>
      </c>
      <c r="D61" s="183">
        <f t="shared" ca="1" si="53"/>
        <v>-178.60370590635421</v>
      </c>
      <c r="E61" s="32">
        <f t="shared" ca="1" si="54"/>
        <v>6663552.6490844693</v>
      </c>
      <c r="F61" s="760">
        <f t="shared" ca="1" si="55"/>
        <v>687.91499523362836</v>
      </c>
      <c r="G61" s="531">
        <f t="shared" ca="1" si="56"/>
        <v>1442953.7949939705</v>
      </c>
      <c r="H61" s="532">
        <f t="shared" ca="1" si="57"/>
        <v>6592077.7965948777</v>
      </c>
      <c r="I61" s="31">
        <f t="shared" ca="1" si="58"/>
        <v>64</v>
      </c>
      <c r="J61" s="302">
        <f t="shared" ref="J61:J89" ca="1" si="91">IFERROR((_11Bback)/(_10Bcorr),"")</f>
        <v>4.5690263018105259</v>
      </c>
      <c r="K61" s="46">
        <f t="shared" ca="1" si="90"/>
        <v>4.5684607639307142</v>
      </c>
      <c r="L61" s="440"/>
      <c r="M61" s="441"/>
      <c r="N61" s="45">
        <f ca="1">IFERROR(IFNEG(INDIRECT(ADDRESS(MATCH(FirstLine+15,RawEntrie,0)+ROW(RawEntrie)+ROW()-20,2))-INDIRECT(ADDRESS(MATCH(1+15,RawEntrie,0)+ROW(RawEntrie)-17,2)),""),"")</f>
        <v>4.3563519999997879</v>
      </c>
      <c r="O61" s="523"/>
      <c r="P61" s="524"/>
      <c r="Q61" s="56"/>
      <c r="R61" s="322">
        <f t="shared" ca="1" si="73"/>
        <v>1442775.1912880642</v>
      </c>
      <c r="S61" s="37">
        <f t="shared" ca="1" si="78"/>
        <v>4.5156588026881659</v>
      </c>
      <c r="T61" s="38">
        <f t="shared" ca="1" si="60"/>
        <v>4.5156588026881659</v>
      </c>
      <c r="U61" s="38">
        <f t="shared" ca="1" si="74"/>
        <v>4.5156588026881659</v>
      </c>
      <c r="V61" s="38">
        <f t="shared" ca="1" si="74"/>
        <v>4.5156588026881659</v>
      </c>
      <c r="W61" s="37">
        <f t="shared" ca="1" si="79"/>
        <v>4.5684607639307142</v>
      </c>
      <c r="X61" s="38">
        <f t="shared" ca="1" si="75"/>
        <v>4.5684607639307142</v>
      </c>
      <c r="Y61" s="38">
        <f t="shared" ca="1" si="75"/>
        <v>4.5684607639307142</v>
      </c>
      <c r="Z61" s="47">
        <f t="shared" ca="1" si="75"/>
        <v>4.5684607639307142</v>
      </c>
      <c r="AA61" s="511">
        <f t="shared" ca="1" si="80"/>
        <v>1</v>
      </c>
      <c r="AB61" s="503">
        <f t="shared" ca="1" si="81"/>
        <v>-1459.0825315190887</v>
      </c>
      <c r="AC61" s="70">
        <f t="shared" ca="1" si="82"/>
        <v>1475654.5922197809</v>
      </c>
      <c r="AD61" s="70">
        <f t="shared" ca="1" si="83"/>
        <v>1340.8859783096304</v>
      </c>
      <c r="AE61" s="70">
        <f t="shared" ca="1" si="84"/>
        <v>-178.60370590635421</v>
      </c>
      <c r="AF61" s="504">
        <f t="shared" ca="1" si="85"/>
        <v>6663552.6490844693</v>
      </c>
      <c r="AG61" s="507">
        <f t="shared" ca="1" si="86"/>
        <v>687.91499523362836</v>
      </c>
      <c r="AH61" s="503">
        <f t="shared" ca="1" si="87"/>
        <v>1442953.7949939705</v>
      </c>
      <c r="AI61" s="504">
        <f t="shared" ca="1" si="88"/>
        <v>6592077.7965948777</v>
      </c>
      <c r="AJ61" s="45">
        <f t="shared" ca="1" si="17"/>
        <v>4.3563519999997879</v>
      </c>
      <c r="AK61" s="464">
        <f t="shared" ca="1" si="89"/>
        <v>4.5684607639307142</v>
      </c>
      <c r="AL61" s="279"/>
    </row>
    <row r="62" spans="1:38" s="14" customFormat="1" ht="12" customHeight="1" x14ac:dyDescent="0.15">
      <c r="A62" s="32">
        <f t="shared" ca="1" si="50"/>
        <v>2012.4682190578715</v>
      </c>
      <c r="B62" s="32">
        <f t="shared" ca="1" si="51"/>
        <v>1484352.6928389184</v>
      </c>
      <c r="C62" s="32">
        <f t="shared" ca="1" si="52"/>
        <v>-255.65735201288044</v>
      </c>
      <c r="D62" s="183">
        <f t="shared" ca="1" si="53"/>
        <v>975.21127942016415</v>
      </c>
      <c r="E62" s="32">
        <f t="shared" ca="1" si="54"/>
        <v>6714752.2689549113</v>
      </c>
      <c r="F62" s="760">
        <f t="shared" ca="1" si="55"/>
        <v>860.44717563713129</v>
      </c>
      <c r="G62" s="531">
        <f t="shared" ca="1" si="56"/>
        <v>1450498.0806277816</v>
      </c>
      <c r="H62" s="532">
        <f t="shared" ca="1" si="57"/>
        <v>6643104.8842849163</v>
      </c>
      <c r="I62" s="31">
        <f t="shared" ca="1" si="58"/>
        <v>65</v>
      </c>
      <c r="J62" s="302">
        <f t="shared" ca="1" si="91"/>
        <v>4.5768013240919041</v>
      </c>
      <c r="K62" s="46">
        <f t="shared" ca="1" si="90"/>
        <v>4.5798784383153084</v>
      </c>
      <c r="L62" s="440"/>
      <c r="M62" s="441"/>
      <c r="N62" s="45">
        <f ca="1">IFERROR(IFNEG(INDIRECT(ADDRESS(MATCH(FirstLine+15,RawEntrie,0)+ROW(RawEntrie)+ROW()-20,2))-INDIRECT(ADDRESS(MATCH(1+15,RawEntrie,0)+ROW(RawEntrie)-17,2)),""),"")</f>
        <v>4.4244479999997566</v>
      </c>
      <c r="O62" s="523"/>
      <c r="P62" s="524"/>
      <c r="Q62" s="56"/>
      <c r="R62" s="322">
        <f t="shared" ca="1" si="73"/>
        <v>1451473.2919072018</v>
      </c>
      <c r="S62" s="37">
        <f t="shared" ca="1" si="78"/>
        <v>4.5236905631319484</v>
      </c>
      <c r="T62" s="38">
        <f t="shared" ca="1" si="60"/>
        <v>4.5236905631319484</v>
      </c>
      <c r="U62" s="38">
        <f t="shared" ca="1" si="74"/>
        <v>4.5236905631319484</v>
      </c>
      <c r="V62" s="38">
        <f t="shared" ca="1" si="74"/>
        <v>4.5236905631319484</v>
      </c>
      <c r="W62" s="37">
        <f t="shared" ca="1" si="79"/>
        <v>4.5798784383153084</v>
      </c>
      <c r="X62" s="38">
        <f t="shared" ca="1" si="75"/>
        <v>4.5798784383153084</v>
      </c>
      <c r="Y62" s="38">
        <f t="shared" ca="1" si="75"/>
        <v>4.5798784383153084</v>
      </c>
      <c r="Z62" s="47">
        <f t="shared" ca="1" si="75"/>
        <v>4.5798784383153084</v>
      </c>
      <c r="AA62" s="511">
        <f t="shared" ca="1" si="80"/>
        <v>1</v>
      </c>
      <c r="AB62" s="503">
        <f t="shared" ca="1" si="81"/>
        <v>2012.4682190578715</v>
      </c>
      <c r="AC62" s="70">
        <f t="shared" ca="1" si="82"/>
        <v>1484352.6928389184</v>
      </c>
      <c r="AD62" s="70">
        <f t="shared" ca="1" si="83"/>
        <v>-255.65735201288044</v>
      </c>
      <c r="AE62" s="70">
        <f t="shared" ca="1" si="84"/>
        <v>975.21127942016415</v>
      </c>
      <c r="AF62" s="504">
        <f t="shared" ca="1" si="85"/>
        <v>6714752.2689549113</v>
      </c>
      <c r="AG62" s="507">
        <f t="shared" ca="1" si="86"/>
        <v>860.44717563713129</v>
      </c>
      <c r="AH62" s="503">
        <f t="shared" ca="1" si="87"/>
        <v>1450498.0806277816</v>
      </c>
      <c r="AI62" s="504">
        <f t="shared" ca="1" si="88"/>
        <v>6643104.8842849163</v>
      </c>
      <c r="AJ62" s="45">
        <f t="shared" ca="1" si="17"/>
        <v>4.4244479999997566</v>
      </c>
      <c r="AK62" s="464">
        <f t="shared" ca="1" si="89"/>
        <v>4.5798784383153084</v>
      </c>
      <c r="AL62" s="279"/>
    </row>
    <row r="63" spans="1:38" s="14" customFormat="1" ht="12" customHeight="1" x14ac:dyDescent="0.15">
      <c r="A63" s="32">
        <f t="shared" ca="1" si="50"/>
        <v>831.03289919585586</v>
      </c>
      <c r="B63" s="32">
        <f t="shared" ca="1" si="51"/>
        <v>1489408.7380826722</v>
      </c>
      <c r="C63" s="32">
        <f t="shared" ca="1" si="52"/>
        <v>950.67463822347781</v>
      </c>
      <c r="D63" s="183">
        <f t="shared" ca="1" si="53"/>
        <v>885.7473407856744</v>
      </c>
      <c r="E63" s="32">
        <f t="shared" ca="1" si="54"/>
        <v>6734323.520051213</v>
      </c>
      <c r="F63" s="760">
        <f t="shared" ca="1" si="55"/>
        <v>1201.3425913243882</v>
      </c>
      <c r="G63" s="531">
        <f t="shared" ca="1" si="56"/>
        <v>1455643.58981017</v>
      </c>
      <c r="H63" s="532">
        <f t="shared" ca="1" si="57"/>
        <v>6662335.2399655301</v>
      </c>
      <c r="I63" s="31">
        <f t="shared" ca="1" si="58"/>
        <v>66</v>
      </c>
      <c r="J63" s="302">
        <f t="shared" ca="1" si="91"/>
        <v>4.5741167513984937</v>
      </c>
      <c r="K63" s="46">
        <f t="shared" ca="1" si="90"/>
        <v>4.5769000644136817</v>
      </c>
      <c r="L63" s="440"/>
      <c r="M63" s="441"/>
      <c r="N63" s="45">
        <f ca="1">IFERROR(IFNEG(INDIRECT(ADDRESS(MATCH(FirstLine+15,RawEntrie,0)+ROW(RawEntrie)+ROW()-20,2))-INDIRECT(ADDRESS(MATCH(1+15,RawEntrie,0)+ROW(RawEntrie)-17,2)),""),"")</f>
        <v>4.4925439999997252</v>
      </c>
      <c r="O63" s="523"/>
      <c r="P63" s="524"/>
      <c r="Q63" s="56"/>
      <c r="R63" s="322">
        <f t="shared" ca="1" si="73"/>
        <v>1456529.3371509556</v>
      </c>
      <c r="S63" s="37">
        <f t="shared" ca="1" si="78"/>
        <v>4.5214744266374867</v>
      </c>
      <c r="T63" s="38">
        <f t="shared" ca="1" si="60"/>
        <v>4.5214744266374867</v>
      </c>
      <c r="U63" s="38">
        <f t="shared" ref="U63:V82" ca="1" si="92">IF(T63&gt;T$104,"",IF(T63&lt;T$105,"",T63))</f>
        <v>4.5214744266374867</v>
      </c>
      <c r="V63" s="38">
        <f t="shared" ca="1" si="92"/>
        <v>4.5214744266374867</v>
      </c>
      <c r="W63" s="37">
        <f t="shared" ca="1" si="79"/>
        <v>4.5769000644136817</v>
      </c>
      <c r="X63" s="38">
        <f t="shared" ref="X63:Z82" ca="1" si="93">IF(W63&gt;W$104,"",IF(W63&lt;W$105,"",W63))</f>
        <v>4.5769000644136817</v>
      </c>
      <c r="Y63" s="38">
        <f t="shared" ca="1" si="93"/>
        <v>4.5769000644136817</v>
      </c>
      <c r="Z63" s="47">
        <f t="shared" ca="1" si="93"/>
        <v>4.5769000644136817</v>
      </c>
      <c r="AA63" s="511">
        <f t="shared" ca="1" si="80"/>
        <v>1</v>
      </c>
      <c r="AB63" s="503">
        <f t="shared" ca="1" si="81"/>
        <v>831.03289919585586</v>
      </c>
      <c r="AC63" s="70">
        <f t="shared" ca="1" si="82"/>
        <v>1489408.7380826722</v>
      </c>
      <c r="AD63" s="70">
        <f t="shared" ca="1" si="83"/>
        <v>950.67463822347781</v>
      </c>
      <c r="AE63" s="70">
        <f t="shared" ca="1" si="84"/>
        <v>885.7473407856744</v>
      </c>
      <c r="AF63" s="504">
        <f t="shared" ca="1" si="85"/>
        <v>6734323.520051213</v>
      </c>
      <c r="AG63" s="507">
        <f t="shared" ca="1" si="86"/>
        <v>1201.3425913243882</v>
      </c>
      <c r="AH63" s="503">
        <f t="shared" ca="1" si="87"/>
        <v>1455643.58981017</v>
      </c>
      <c r="AI63" s="504">
        <f t="shared" ca="1" si="88"/>
        <v>6662335.2399655301</v>
      </c>
      <c r="AJ63" s="45">
        <f t="shared" ca="1" si="17"/>
        <v>4.4925439999997252</v>
      </c>
      <c r="AK63" s="464">
        <f t="shared" ca="1" si="89"/>
        <v>4.5769000644136817</v>
      </c>
      <c r="AL63" s="279"/>
    </row>
    <row r="64" spans="1:38" s="14" customFormat="1" ht="12" customHeight="1" x14ac:dyDescent="0.15">
      <c r="A64" s="32">
        <f t="shared" ca="1" si="50"/>
        <v>2203.2049268248375</v>
      </c>
      <c r="B64" s="32">
        <f t="shared" ca="1" si="51"/>
        <v>1485513.4021514405</v>
      </c>
      <c r="C64" s="32">
        <f t="shared" ca="1" si="52"/>
        <v>1704.6656190095746</v>
      </c>
      <c r="D64" s="183">
        <f t="shared" ca="1" si="53"/>
        <v>1975.2134243660744</v>
      </c>
      <c r="E64" s="32">
        <f t="shared" ca="1" si="54"/>
        <v>6721805.9414024688</v>
      </c>
      <c r="F64" s="760">
        <f t="shared" ca="1" si="55"/>
        <v>4415.906576911535</v>
      </c>
      <c r="G64" s="531">
        <f t="shared" ca="1" si="56"/>
        <v>1450658.7877953579</v>
      </c>
      <c r="H64" s="532">
        <f t="shared" ca="1" si="57"/>
        <v>6646603.0973311989</v>
      </c>
      <c r="I64" s="31">
        <f t="shared" ca="1" si="58"/>
        <v>67</v>
      </c>
      <c r="J64" s="302">
        <f t="shared" ca="1" si="91"/>
        <v>4.5755524734725253</v>
      </c>
      <c r="K64" s="46">
        <f t="shared" ca="1" si="90"/>
        <v>4.581782534425197</v>
      </c>
      <c r="L64" s="440"/>
      <c r="M64" s="441"/>
      <c r="N64" s="45">
        <f ca="1">IFERROR(IFNEG(INDIRECT(ADDRESS(MATCH(FirstLine+15,RawEntrie,0)+ROW(RawEntrie)+ROW()-20,2))-INDIRECT(ADDRESS(MATCH(1+15,RawEntrie,0)+ROW(RawEntrie)-17,2)),""),"")</f>
        <v>4.5603839999994307</v>
      </c>
      <c r="O64" s="523"/>
      <c r="P64" s="524"/>
      <c r="Q64" s="56"/>
      <c r="R64" s="322">
        <f t="shared" ca="1" si="73"/>
        <v>1452634.0012197238</v>
      </c>
      <c r="S64" s="37">
        <f t="shared" ca="1" si="78"/>
        <v>4.524904273275089</v>
      </c>
      <c r="T64" s="38">
        <f t="shared" ca="1" si="60"/>
        <v>4.524904273275089</v>
      </c>
      <c r="U64" s="38">
        <f t="shared" ca="1" si="92"/>
        <v>4.524904273275089</v>
      </c>
      <c r="V64" s="38">
        <f t="shared" ca="1" si="92"/>
        <v>4.524904273275089</v>
      </c>
      <c r="W64" s="37">
        <f t="shared" ca="1" si="79"/>
        <v>4.581782534425197</v>
      </c>
      <c r="X64" s="38">
        <f t="shared" ca="1" si="93"/>
        <v>4.581782534425197</v>
      </c>
      <c r="Y64" s="38">
        <f t="shared" ca="1" si="93"/>
        <v>4.581782534425197</v>
      </c>
      <c r="Z64" s="47">
        <f t="shared" ca="1" si="93"/>
        <v>4.581782534425197</v>
      </c>
      <c r="AA64" s="511">
        <f t="shared" ca="1" si="80"/>
        <v>1</v>
      </c>
      <c r="AB64" s="503">
        <f t="shared" ca="1" si="81"/>
        <v>2203.2049268248375</v>
      </c>
      <c r="AC64" s="70">
        <f t="shared" ca="1" si="82"/>
        <v>1485513.4021514405</v>
      </c>
      <c r="AD64" s="70">
        <f t="shared" ca="1" si="83"/>
        <v>1704.6656190095746</v>
      </c>
      <c r="AE64" s="70">
        <f t="shared" ca="1" si="84"/>
        <v>1975.2134243660744</v>
      </c>
      <c r="AF64" s="504">
        <f t="shared" ca="1" si="85"/>
        <v>6721805.9414024688</v>
      </c>
      <c r="AG64" s="507">
        <f t="shared" ca="1" si="86"/>
        <v>4415.906576911535</v>
      </c>
      <c r="AH64" s="503">
        <f t="shared" ca="1" si="87"/>
        <v>1450658.7877953579</v>
      </c>
      <c r="AI64" s="504">
        <f t="shared" ca="1" si="88"/>
        <v>6646603.0973311989</v>
      </c>
      <c r="AJ64" s="45">
        <f t="shared" ca="1" si="17"/>
        <v>4.5603839999994307</v>
      </c>
      <c r="AK64" s="464">
        <f t="shared" ca="1" si="89"/>
        <v>4.581782534425197</v>
      </c>
      <c r="AL64" s="279"/>
    </row>
    <row r="65" spans="1:38" s="14" customFormat="1" ht="12" customHeight="1" x14ac:dyDescent="0.15">
      <c r="A65" s="32">
        <f t="shared" ca="1" si="50"/>
        <v>1076.4452621647652</v>
      </c>
      <c r="B65" s="32">
        <f t="shared" ca="1" si="51"/>
        <v>1479012.6970123751</v>
      </c>
      <c r="C65" s="32">
        <f t="shared" ca="1" si="52"/>
        <v>-480.60435348559258</v>
      </c>
      <c r="D65" s="183">
        <f t="shared" ca="1" si="53"/>
        <v>364.37687415611094</v>
      </c>
      <c r="E65" s="32">
        <f t="shared" ca="1" si="54"/>
        <v>6700546.3622461725</v>
      </c>
      <c r="F65" s="760">
        <f t="shared" ca="1" si="55"/>
        <v>4471.2255245593524</v>
      </c>
      <c r="G65" s="531">
        <f t="shared" ca="1" si="56"/>
        <v>1445768.9192065024</v>
      </c>
      <c r="H65" s="532">
        <f t="shared" ca="1" si="57"/>
        <v>6625288.1992272548</v>
      </c>
      <c r="I65" s="31">
        <f t="shared" ca="1" si="58"/>
        <v>68</v>
      </c>
      <c r="J65" s="302">
        <f t="shared" ca="1" si="91"/>
        <v>4.5813814101253687</v>
      </c>
      <c r="K65" s="46">
        <f t="shared" ca="1" si="90"/>
        <v>4.5825360548375089</v>
      </c>
      <c r="L65" s="440"/>
      <c r="M65" s="441"/>
      <c r="N65" s="45">
        <f ca="1">IFERROR(IFNEG(INDIRECT(ADDRESS(MATCH(FirstLine+15,RawEntrie,0)+ROW(RawEntrie)+ROW()-20,2))-INDIRECT(ADDRESS(MATCH(1+15,RawEntrie,0)+ROW(RawEntrie)-17,2)),""),"")</f>
        <v>4.628479999999854</v>
      </c>
      <c r="O65" s="523"/>
      <c r="P65" s="524"/>
      <c r="Q65" s="56"/>
      <c r="R65" s="322">
        <f t="shared" ca="1" si="73"/>
        <v>1446133.2960806584</v>
      </c>
      <c r="S65" s="37">
        <f t="shared" ca="1" si="78"/>
        <v>4.5304184174898321</v>
      </c>
      <c r="T65" s="38">
        <f t="shared" ca="1" si="60"/>
        <v>4.5304184174898321</v>
      </c>
      <c r="U65" s="38">
        <f t="shared" ca="1" si="92"/>
        <v>4.5304184174898321</v>
      </c>
      <c r="V65" s="38">
        <f t="shared" ca="1" si="92"/>
        <v>4.5304184174898321</v>
      </c>
      <c r="W65" s="37">
        <f t="shared" ca="1" si="79"/>
        <v>4.5825360548375089</v>
      </c>
      <c r="X65" s="38">
        <f t="shared" ca="1" si="93"/>
        <v>4.5825360548375089</v>
      </c>
      <c r="Y65" s="38">
        <f t="shared" ca="1" si="93"/>
        <v>4.5825360548375089</v>
      </c>
      <c r="Z65" s="47">
        <f t="shared" ca="1" si="93"/>
        <v>4.5825360548375089</v>
      </c>
      <c r="AA65" s="511">
        <f t="shared" ca="1" si="80"/>
        <v>1</v>
      </c>
      <c r="AB65" s="503">
        <f t="shared" ca="1" si="81"/>
        <v>1076.4452621647652</v>
      </c>
      <c r="AC65" s="70">
        <f t="shared" ca="1" si="82"/>
        <v>1479012.6970123751</v>
      </c>
      <c r="AD65" s="70">
        <f t="shared" ca="1" si="83"/>
        <v>-480.60435348559258</v>
      </c>
      <c r="AE65" s="70">
        <f t="shared" ca="1" si="84"/>
        <v>364.37687415611094</v>
      </c>
      <c r="AF65" s="504">
        <f t="shared" ca="1" si="85"/>
        <v>6700546.3622461725</v>
      </c>
      <c r="AG65" s="507">
        <f t="shared" ca="1" si="86"/>
        <v>4471.2255245593524</v>
      </c>
      <c r="AH65" s="503">
        <f t="shared" ca="1" si="87"/>
        <v>1445768.9192065024</v>
      </c>
      <c r="AI65" s="504">
        <f t="shared" ca="1" si="88"/>
        <v>6625288.1992272548</v>
      </c>
      <c r="AJ65" s="45">
        <f t="shared" ca="1" si="17"/>
        <v>4.628479999999854</v>
      </c>
      <c r="AK65" s="464">
        <f t="shared" ca="1" si="89"/>
        <v>4.5825360548375089</v>
      </c>
      <c r="AL65" s="279"/>
    </row>
    <row r="66" spans="1:38" s="14" customFormat="1" ht="12" customHeight="1" x14ac:dyDescent="0.15">
      <c r="A66" s="32">
        <f t="shared" ca="1" si="50"/>
        <v>1238.7294030295743</v>
      </c>
      <c r="B66" s="32">
        <f t="shared" ca="1" si="51"/>
        <v>1485825.6667257494</v>
      </c>
      <c r="C66" s="32">
        <f t="shared" ca="1" si="52"/>
        <v>291.81880001986428</v>
      </c>
      <c r="D66" s="183">
        <f t="shared" ca="1" si="53"/>
        <v>805.68918395357787</v>
      </c>
      <c r="E66" s="32">
        <f t="shared" ca="1" si="54"/>
        <v>6705245.4429046316</v>
      </c>
      <c r="F66" s="760">
        <f t="shared" ca="1" si="55"/>
        <v>4687.9387353248549</v>
      </c>
      <c r="G66" s="531">
        <f t="shared" ca="1" si="56"/>
        <v>1452140.576610079</v>
      </c>
      <c r="H66" s="532">
        <f t="shared" ca="1" si="57"/>
        <v>6629770.5666749487</v>
      </c>
      <c r="I66" s="31">
        <f t="shared" ca="1" si="58"/>
        <v>69</v>
      </c>
      <c r="J66" s="302">
        <f t="shared" ca="1" si="91"/>
        <v>4.5629840020627261</v>
      </c>
      <c r="K66" s="46">
        <f t="shared" ca="1" si="90"/>
        <v>4.5655156762795555</v>
      </c>
      <c r="L66" s="440"/>
      <c r="M66" s="441"/>
      <c r="N66" s="45">
        <f ca="1">IFERROR(IFNEG(INDIRECT(ADDRESS(MATCH(FirstLine+15,RawEntrie,0)+ROW(RawEntrie)+ROW()-20,2))-INDIRECT(ADDRESS(MATCH(1+15,RawEntrie,0)+ROW(RawEntrie)-17,2)),""),"")</f>
        <v>4.6965759999998227</v>
      </c>
      <c r="O66" s="523"/>
      <c r="P66" s="524"/>
      <c r="Q66" s="56"/>
      <c r="R66" s="322">
        <f t="shared" ca="1" si="73"/>
        <v>1452946.2657940327</v>
      </c>
      <c r="S66" s="37">
        <f t="shared" ca="1" si="78"/>
        <v>4.5128076550734884</v>
      </c>
      <c r="T66" s="38">
        <f t="shared" ca="1" si="60"/>
        <v>4.5128076550734884</v>
      </c>
      <c r="U66" s="38">
        <f t="shared" ca="1" si="92"/>
        <v>4.5128076550734884</v>
      </c>
      <c r="V66" s="38">
        <f t="shared" ca="1" si="92"/>
        <v>4.5128076550734884</v>
      </c>
      <c r="W66" s="37">
        <f t="shared" ca="1" si="79"/>
        <v>4.5655156762795555</v>
      </c>
      <c r="X66" s="38">
        <f t="shared" ca="1" si="93"/>
        <v>4.5655156762795555</v>
      </c>
      <c r="Y66" s="38">
        <f t="shared" ca="1" si="93"/>
        <v>4.5655156762795555</v>
      </c>
      <c r="Z66" s="47">
        <f t="shared" ca="1" si="93"/>
        <v>4.5655156762795555</v>
      </c>
      <c r="AA66" s="511">
        <f t="shared" ca="1" si="80"/>
        <v>1</v>
      </c>
      <c r="AB66" s="503">
        <f t="shared" ca="1" si="81"/>
        <v>1238.7294030295743</v>
      </c>
      <c r="AC66" s="70">
        <f t="shared" ca="1" si="82"/>
        <v>1485825.6667257494</v>
      </c>
      <c r="AD66" s="70">
        <f t="shared" ca="1" si="83"/>
        <v>291.81880001986428</v>
      </c>
      <c r="AE66" s="70">
        <f t="shared" ca="1" si="84"/>
        <v>805.68918395357787</v>
      </c>
      <c r="AF66" s="504">
        <f t="shared" ca="1" si="85"/>
        <v>6705245.4429046316</v>
      </c>
      <c r="AG66" s="507">
        <f t="shared" ca="1" si="86"/>
        <v>4687.9387353248549</v>
      </c>
      <c r="AH66" s="503">
        <f t="shared" ca="1" si="87"/>
        <v>1452140.576610079</v>
      </c>
      <c r="AI66" s="504">
        <f t="shared" ca="1" si="88"/>
        <v>6629770.5666749487</v>
      </c>
      <c r="AJ66" s="45">
        <f t="shared" ca="1" si="17"/>
        <v>4.6965759999998227</v>
      </c>
      <c r="AK66" s="464">
        <f t="shared" ca="1" si="89"/>
        <v>4.5655156762795555</v>
      </c>
      <c r="AL66" s="279"/>
    </row>
    <row r="67" spans="1:38" s="14" customFormat="1" ht="12" customHeight="1" x14ac:dyDescent="0.15">
      <c r="A67" s="32">
        <f t="shared" ref="A67:A100" ca="1" si="94">IFERROR(INDIRECT(ADDRESS(MATCH(FirstLine+15,RawEntrie,0)+ROW(RawEntrie)+ROW()-20,3)),"")-$P$9</f>
        <v>2038.2321101924208</v>
      </c>
      <c r="B67" s="32">
        <f t="shared" ref="B67:B100" ca="1" si="95">IFERROR(INDIRECT(ADDRESS(MATCH(FirstLine+15,RawEntrie,0)+ROW(RawEntrie)+ROW()-20,4)),"")</f>
        <v>1489215.289296902</v>
      </c>
      <c r="C67" s="32">
        <f t="shared" ref="C67:C100" ca="1" si="96">IFERROR(INDIRECT(ADDRESS(MATCH(FirstLine+15,RawEntrie,0)+ROW(RawEntrie)+ROW()-20,5)),"")-$P$11</f>
        <v>222.38739792295019</v>
      </c>
      <c r="D67" s="183">
        <f t="shared" ref="D67:D100" ca="1" si="97">IFERROR(((_10Bmass-$P$2)*(($A67)-($C67))/($P$2-$P$4)+$A67),"")</f>
        <v>1207.8118049282946</v>
      </c>
      <c r="E67" s="32">
        <f t="shared" ref="E67:E100" ca="1" si="98">IFERROR(INDIRECT(ADDRESS(MATCH(FirstLine+15,RawEntrie,0)+ROW(RawEntrie)+ROW()-20,7)),"")</f>
        <v>6724225.8116928339</v>
      </c>
      <c r="F67" s="760">
        <f t="shared" ref="F67:F100" ca="1" si="99">IFERROR(INDIRECT(ADDRESS(MATCH(FirstLine+15,RawEntrie,0)+ROW(RawEntrie)+ROW()-20,19)),"")</f>
        <v>2173.3204101256042</v>
      </c>
      <c r="G67" s="531">
        <f t="shared" ref="G67:G100" ca="1" si="100">IFERROR(_10B-$P$10-_10Bbul,"")</f>
        <v>1455128.076560257</v>
      </c>
      <c r="H67" s="532">
        <f t="shared" ref="H67:H100" ca="1" si="101">IFERROR(_11B-$P$13-_11Bbul,"")</f>
        <v>6651265.55378835</v>
      </c>
      <c r="I67" s="31">
        <f t="shared" ref="I67:I100" ca="1" si="102">IFERROR(INDIRECT(ADDRESS(MATCH(FirstLine+15,RawEntrie,0)+ROW(RawEntrie)+ROW()-20,1)),"")</f>
        <v>70</v>
      </c>
      <c r="J67" s="302">
        <f t="shared" ca="1" si="91"/>
        <v>4.5671232899813727</v>
      </c>
      <c r="K67" s="46">
        <f t="shared" ca="1" si="90"/>
        <v>4.5709141765109225</v>
      </c>
      <c r="L67" s="440"/>
      <c r="M67" s="441"/>
      <c r="N67" s="45">
        <f ca="1">IFERROR(IFNEG(INDIRECT(ADDRESS(MATCH(FirstLine+15,RawEntrie,0)+ROW(RawEntrie)+ROW()-20,2))-INDIRECT(ADDRESS(MATCH(1+15,RawEntrie,0)+ROW(RawEntrie)-17,2)),""),"")</f>
        <v>4.7641599999997197</v>
      </c>
      <c r="O67" s="523"/>
      <c r="P67" s="524"/>
      <c r="Q67" s="56"/>
      <c r="R67" s="322">
        <f t="shared" ca="1" si="73"/>
        <v>1456335.8883651854</v>
      </c>
      <c r="S67" s="37">
        <f t="shared" ca="1" si="78"/>
        <v>4.5152812088489362</v>
      </c>
      <c r="T67" s="38">
        <f t="shared" ca="1" si="60"/>
        <v>4.5152812088489362</v>
      </c>
      <c r="U67" s="38">
        <f t="shared" ca="1" si="92"/>
        <v>4.5152812088489362</v>
      </c>
      <c r="V67" s="38">
        <f t="shared" ca="1" si="92"/>
        <v>4.5152812088489362</v>
      </c>
      <c r="W67" s="37">
        <f t="shared" ca="1" si="79"/>
        <v>4.5709141765109225</v>
      </c>
      <c r="X67" s="38">
        <f t="shared" ca="1" si="93"/>
        <v>4.5709141765109225</v>
      </c>
      <c r="Y67" s="38">
        <f t="shared" ca="1" si="93"/>
        <v>4.5709141765109225</v>
      </c>
      <c r="Z67" s="47">
        <f t="shared" ca="1" si="93"/>
        <v>4.5709141765109225</v>
      </c>
      <c r="AA67" s="511">
        <f t="shared" ca="1" si="80"/>
        <v>1</v>
      </c>
      <c r="AB67" s="503">
        <f t="shared" ca="1" si="81"/>
        <v>2038.2321101924208</v>
      </c>
      <c r="AC67" s="70">
        <f t="shared" ca="1" si="82"/>
        <v>1489215.289296902</v>
      </c>
      <c r="AD67" s="70">
        <f t="shared" ca="1" si="83"/>
        <v>222.38739792295019</v>
      </c>
      <c r="AE67" s="70">
        <f t="shared" ca="1" si="84"/>
        <v>1207.8118049282946</v>
      </c>
      <c r="AF67" s="504">
        <f t="shared" ca="1" si="85"/>
        <v>6724225.8116928339</v>
      </c>
      <c r="AG67" s="507">
        <f t="shared" ca="1" si="86"/>
        <v>2173.3204101256042</v>
      </c>
      <c r="AH67" s="503">
        <f t="shared" ca="1" si="87"/>
        <v>1455128.076560257</v>
      </c>
      <c r="AI67" s="504">
        <f t="shared" ca="1" si="88"/>
        <v>6651265.55378835</v>
      </c>
      <c r="AJ67" s="45">
        <f t="shared" ca="1" si="17"/>
        <v>4.7641599999997197</v>
      </c>
      <c r="AK67" s="464">
        <f t="shared" ca="1" si="89"/>
        <v>4.5709141765109225</v>
      </c>
      <c r="AL67" s="279"/>
    </row>
    <row r="68" spans="1:38" s="14" customFormat="1" ht="12" customHeight="1" x14ac:dyDescent="0.15">
      <c r="A68" s="32">
        <f t="shared" ca="1" si="94"/>
        <v>383.28152867849712</v>
      </c>
      <c r="B68" s="32">
        <f t="shared" ca="1" si="95"/>
        <v>1486772.6790831096</v>
      </c>
      <c r="C68" s="32">
        <f t="shared" ca="1" si="96"/>
        <v>-357.21321801412341</v>
      </c>
      <c r="D68" s="183">
        <f t="shared" ca="1" si="97"/>
        <v>44.639204563441638</v>
      </c>
      <c r="E68" s="32">
        <f t="shared" ca="1" si="98"/>
        <v>6716237.9480211604</v>
      </c>
      <c r="F68" s="760">
        <f t="shared" ca="1" si="99"/>
        <v>64.245954768196498</v>
      </c>
      <c r="G68" s="531">
        <f t="shared" ca="1" si="100"/>
        <v>1453848.6389468296</v>
      </c>
      <c r="H68" s="532">
        <f t="shared" ca="1" si="101"/>
        <v>6645386.7645720346</v>
      </c>
      <c r="I68" s="31">
        <f t="shared" ca="1" si="102"/>
        <v>71</v>
      </c>
      <c r="J68" s="302">
        <f t="shared" ca="1" si="91"/>
        <v>4.5707527948829645</v>
      </c>
      <c r="K68" s="46">
        <f t="shared" ca="1" si="90"/>
        <v>4.5708931360185909</v>
      </c>
      <c r="L68" s="440"/>
      <c r="M68" s="441"/>
      <c r="N68" s="45">
        <f ca="1">IFERROR(IFNEG(INDIRECT(ADDRESS(MATCH(FirstLine+15,RawEntrie,0)+ROW(RawEntrie)+ROW()-20,2))-INDIRECT(ADDRESS(MATCH(1+15,RawEntrie,0)+ROW(RawEntrie)-17,2)),""),"")</f>
        <v>4.8327679999997599</v>
      </c>
      <c r="O68" s="523"/>
      <c r="P68" s="524"/>
      <c r="Q68" s="56"/>
      <c r="R68" s="322">
        <f t="shared" ca="1" si="73"/>
        <v>1453893.2781513929</v>
      </c>
      <c r="S68" s="37">
        <f t="shared" ca="1" si="78"/>
        <v>4.5173267188115496</v>
      </c>
      <c r="T68" s="38">
        <f t="shared" ref="T68:T99" ca="1" si="103">IF(S68&gt;S$104,"",IF(S68&lt;S$105,"",S68))</f>
        <v>4.5173267188115496</v>
      </c>
      <c r="U68" s="38">
        <f t="shared" ca="1" si="92"/>
        <v>4.5173267188115496</v>
      </c>
      <c r="V68" s="38">
        <f t="shared" ca="1" si="92"/>
        <v>4.5173267188115496</v>
      </c>
      <c r="W68" s="37">
        <f t="shared" ca="1" si="79"/>
        <v>4.5708931360185909</v>
      </c>
      <c r="X68" s="38">
        <f t="shared" ca="1" si="93"/>
        <v>4.5708931360185909</v>
      </c>
      <c r="Y68" s="38">
        <f t="shared" ca="1" si="93"/>
        <v>4.5708931360185909</v>
      </c>
      <c r="Z68" s="47">
        <f t="shared" ca="1" si="93"/>
        <v>4.5708931360185909</v>
      </c>
      <c r="AA68" s="511">
        <f t="shared" ca="1" si="80"/>
        <v>1</v>
      </c>
      <c r="AB68" s="503">
        <f t="shared" ca="1" si="81"/>
        <v>383.28152867849712</v>
      </c>
      <c r="AC68" s="70">
        <f t="shared" ca="1" si="82"/>
        <v>1486772.6790831096</v>
      </c>
      <c r="AD68" s="70">
        <f t="shared" ca="1" si="83"/>
        <v>-357.21321801412341</v>
      </c>
      <c r="AE68" s="70">
        <f t="shared" ca="1" si="84"/>
        <v>44.639204563441638</v>
      </c>
      <c r="AF68" s="504">
        <f t="shared" ca="1" si="85"/>
        <v>6716237.9480211604</v>
      </c>
      <c r="AG68" s="507">
        <f t="shared" ca="1" si="86"/>
        <v>64.245954768196498</v>
      </c>
      <c r="AH68" s="503">
        <f t="shared" ca="1" si="87"/>
        <v>1453848.6389468296</v>
      </c>
      <c r="AI68" s="504">
        <f t="shared" ca="1" si="88"/>
        <v>6645386.7645720346</v>
      </c>
      <c r="AJ68" s="45">
        <f t="shared" ca="1" si="17"/>
        <v>4.8327679999997599</v>
      </c>
      <c r="AK68" s="464">
        <f t="shared" ca="1" si="89"/>
        <v>4.5708931360185909</v>
      </c>
      <c r="AL68" s="279"/>
    </row>
    <row r="69" spans="1:38" s="14" customFormat="1" ht="12" customHeight="1" x14ac:dyDescent="0.15">
      <c r="A69" s="32">
        <f t="shared" ca="1" si="94"/>
        <v>-647.10305830250945</v>
      </c>
      <c r="B69" s="32">
        <f t="shared" ca="1" si="95"/>
        <v>1472244.5519415815</v>
      </c>
      <c r="C69" s="32">
        <f t="shared" ca="1" si="96"/>
        <v>-533.60049376878669</v>
      </c>
      <c r="D69" s="183">
        <f t="shared" ca="1" si="97"/>
        <v>-595.19617791153473</v>
      </c>
      <c r="E69" s="32">
        <f t="shared" ca="1" si="98"/>
        <v>6646887.0665240157</v>
      </c>
      <c r="F69" s="760">
        <f t="shared" ca="1" si="99"/>
        <v>1096.9103197861323</v>
      </c>
      <c r="G69" s="531">
        <f t="shared" ca="1" si="100"/>
        <v>1439960.3471877764</v>
      </c>
      <c r="H69" s="532">
        <f t="shared" ca="1" si="101"/>
        <v>6575003.2187098712</v>
      </c>
      <c r="I69" s="31">
        <f t="shared" ca="1" si="102"/>
        <v>72</v>
      </c>
      <c r="J69" s="302">
        <f t="shared" ca="1" si="91"/>
        <v>4.5679883343686765</v>
      </c>
      <c r="K69" s="46">
        <f t="shared" ca="1" si="90"/>
        <v>4.5661001926551421</v>
      </c>
      <c r="L69" s="440"/>
      <c r="M69" s="441"/>
      <c r="N69" s="45">
        <f ca="1">IFERROR(IFNEG(INDIRECT(ADDRESS(MATCH(FirstLine+15,RawEntrie,0)+ROW(RawEntrie)+ROW()-20,2))-INDIRECT(ADDRESS(MATCH(1+15,RawEntrie,0)+ROW(RawEntrie)-17,2)),""),"")</f>
        <v>4.9006079999999201</v>
      </c>
      <c r="O69" s="523"/>
      <c r="P69" s="524"/>
      <c r="Q69" s="56"/>
      <c r="R69" s="322">
        <f t="shared" ca="1" si="73"/>
        <v>1439365.1510098649</v>
      </c>
      <c r="S69" s="37">
        <f t="shared" ca="1" si="78"/>
        <v>4.5147982091413867</v>
      </c>
      <c r="T69" s="38">
        <f t="shared" ca="1" si="103"/>
        <v>4.5147982091413867</v>
      </c>
      <c r="U69" s="38">
        <f t="shared" ca="1" si="92"/>
        <v>4.5147982091413867</v>
      </c>
      <c r="V69" s="38">
        <f t="shared" ca="1" si="92"/>
        <v>4.5147982091413867</v>
      </c>
      <c r="W69" s="37">
        <f t="shared" ca="1" si="79"/>
        <v>4.5661001926551421</v>
      </c>
      <c r="X69" s="38">
        <f t="shared" ca="1" si="93"/>
        <v>4.5661001926551421</v>
      </c>
      <c r="Y69" s="38">
        <f t="shared" ca="1" si="93"/>
        <v>4.5661001926551421</v>
      </c>
      <c r="Z69" s="47">
        <f t="shared" ca="1" si="93"/>
        <v>4.5661001926551421</v>
      </c>
      <c r="AA69" s="511">
        <f t="shared" ca="1" si="80"/>
        <v>1</v>
      </c>
      <c r="AB69" s="503">
        <f t="shared" ca="1" si="81"/>
        <v>-647.10305830250945</v>
      </c>
      <c r="AC69" s="70">
        <f t="shared" ca="1" si="82"/>
        <v>1472244.5519415815</v>
      </c>
      <c r="AD69" s="70">
        <f t="shared" ca="1" si="83"/>
        <v>-533.60049376878669</v>
      </c>
      <c r="AE69" s="70">
        <f t="shared" ca="1" si="84"/>
        <v>-595.19617791153473</v>
      </c>
      <c r="AF69" s="504">
        <f t="shared" ca="1" si="85"/>
        <v>6646887.0665240157</v>
      </c>
      <c r="AG69" s="507">
        <f t="shared" ca="1" si="86"/>
        <v>1096.9103197861323</v>
      </c>
      <c r="AH69" s="503">
        <f t="shared" ca="1" si="87"/>
        <v>1439960.3471877764</v>
      </c>
      <c r="AI69" s="504">
        <f t="shared" ca="1" si="88"/>
        <v>6575003.2187098712</v>
      </c>
      <c r="AJ69" s="45">
        <f t="shared" ca="1" si="17"/>
        <v>4.9006079999999201</v>
      </c>
      <c r="AK69" s="464">
        <f t="shared" ca="1" si="89"/>
        <v>4.5661001926551421</v>
      </c>
      <c r="AL69" s="279"/>
    </row>
    <row r="70" spans="1:38" s="14" customFormat="1" ht="12" customHeight="1" x14ac:dyDescent="0.15">
      <c r="A70" s="32">
        <f t="shared" ca="1" si="94"/>
        <v>-1407.8294813121211</v>
      </c>
      <c r="B70" s="32">
        <f t="shared" ca="1" si="95"/>
        <v>1456591.79413634</v>
      </c>
      <c r="C70" s="32">
        <f t="shared" ca="1" si="96"/>
        <v>490.00818505720235</v>
      </c>
      <c r="D70" s="183">
        <f t="shared" ca="1" si="97"/>
        <v>-539.91223949111884</v>
      </c>
      <c r="E70" s="32">
        <f t="shared" ca="1" si="98"/>
        <v>6563011.3175160764</v>
      </c>
      <c r="F70" s="760">
        <f t="shared" ca="1" si="99"/>
        <v>1625.1239568367755</v>
      </c>
      <c r="G70" s="531">
        <f t="shared" ca="1" si="100"/>
        <v>1424252.3054441144</v>
      </c>
      <c r="H70" s="532">
        <f t="shared" ca="1" si="101"/>
        <v>6490599.2560648816</v>
      </c>
      <c r="I70" s="31">
        <f t="shared" ca="1" si="102"/>
        <v>73</v>
      </c>
      <c r="J70" s="302">
        <f t="shared" ca="1" si="91"/>
        <v>4.5589258666599379</v>
      </c>
      <c r="K70" s="46"/>
      <c r="L70" s="440"/>
      <c r="M70" s="441"/>
      <c r="N70" s="45">
        <f ca="1">IFERROR(IFNEG(INDIRECT(ADDRESS(MATCH(FirstLine+15,RawEntrie,0)+ROW(RawEntrie)+ROW()-20,2))-INDIRECT(ADDRESS(MATCH(1+15,RawEntrie,0)+ROW(RawEntrie)-17,2)),""),"")</f>
        <v>4.9687039999998888</v>
      </c>
      <c r="O70" s="523"/>
      <c r="P70" s="524"/>
      <c r="Q70" s="56"/>
      <c r="R70" s="322">
        <f t="shared" ref="R70:R100" ca="1" si="104">IFERROR(_10B-$P$10,"")</f>
        <v>1423712.3932046234</v>
      </c>
      <c r="S70" s="37">
        <f t="shared" ca="1" si="78"/>
        <v>4.5057313544784154</v>
      </c>
      <c r="T70" s="38">
        <f t="shared" ca="1" si="103"/>
        <v>4.5057313544784154</v>
      </c>
      <c r="U70" s="38">
        <f t="shared" ca="1" si="92"/>
        <v>4.5057313544784154</v>
      </c>
      <c r="V70" s="38">
        <f t="shared" ca="1" si="92"/>
        <v>4.5057313544784154</v>
      </c>
      <c r="W70" s="37">
        <f t="shared" ca="1" si="79"/>
        <v>4.557197647674486</v>
      </c>
      <c r="X70" s="38">
        <f t="shared" ca="1" si="93"/>
        <v>4.557197647674486</v>
      </c>
      <c r="Y70" s="38" t="str">
        <f t="shared" ca="1" si="93"/>
        <v/>
      </c>
      <c r="Z70" s="47" t="str">
        <f t="shared" ca="1" si="93"/>
        <v/>
      </c>
      <c r="AA70" s="511" t="str">
        <f t="shared" si="80"/>
        <v/>
      </c>
      <c r="AB70" s="503" t="str">
        <f t="shared" si="81"/>
        <v xml:space="preserve"> </v>
      </c>
      <c r="AC70" s="70" t="str">
        <f t="shared" si="82"/>
        <v xml:space="preserve"> </v>
      </c>
      <c r="AD70" s="70" t="str">
        <f t="shared" si="83"/>
        <v xml:space="preserve"> </v>
      </c>
      <c r="AE70" s="70" t="str">
        <f t="shared" si="84"/>
        <v xml:space="preserve"> </v>
      </c>
      <c r="AF70" s="504" t="str">
        <f t="shared" si="85"/>
        <v xml:space="preserve"> </v>
      </c>
      <c r="AG70" s="507" t="str">
        <f t="shared" si="86"/>
        <v xml:space="preserve"> </v>
      </c>
      <c r="AH70" s="503" t="str">
        <f t="shared" si="87"/>
        <v xml:space="preserve"> </v>
      </c>
      <c r="AI70" s="504" t="str">
        <f t="shared" si="88"/>
        <v xml:space="preserve"> </v>
      </c>
      <c r="AJ70" s="45">
        <f t="shared" ca="1" si="17"/>
        <v>4.9687039999998888</v>
      </c>
      <c r="AK70" s="464" t="e">
        <f t="shared" si="89"/>
        <v>#N/A</v>
      </c>
      <c r="AL70" s="279"/>
    </row>
    <row r="71" spans="1:38" s="14" customFormat="1" ht="12" customHeight="1" x14ac:dyDescent="0.15">
      <c r="A71" s="32">
        <f t="shared" ca="1" si="94"/>
        <v>2929.0852814535647</v>
      </c>
      <c r="B71" s="32">
        <f t="shared" ca="1" si="95"/>
        <v>1442838.7614479966</v>
      </c>
      <c r="C71" s="32">
        <f t="shared" ca="1" si="96"/>
        <v>2569.0883951837277</v>
      </c>
      <c r="D71" s="183">
        <f t="shared" ca="1" si="97"/>
        <v>2764.4518619929863</v>
      </c>
      <c r="E71" s="32">
        <f t="shared" ca="1" si="98"/>
        <v>6532629.3655958399</v>
      </c>
      <c r="F71" s="760">
        <f t="shared" ca="1" si="99"/>
        <v>3910.1479732311163</v>
      </c>
      <c r="G71" s="531">
        <f t="shared" ca="1" si="100"/>
        <v>1407194.908654287</v>
      </c>
      <c r="H71" s="532">
        <f t="shared" ca="1" si="101"/>
        <v>6457932.2801282508</v>
      </c>
      <c r="I71" s="31">
        <f t="shared" ca="1" si="102"/>
        <v>74</v>
      </c>
      <c r="J71" s="302">
        <f t="shared" ca="1" si="91"/>
        <v>4.580225828468965</v>
      </c>
      <c r="K71" s="46"/>
      <c r="L71" s="440"/>
      <c r="M71" s="441"/>
      <c r="N71" s="45">
        <f ca="1">IFERROR(IFNEG(INDIRECT(ADDRESS(MATCH(FirstLine+15,RawEntrie,0)+ROW(RawEntrie)+ROW()-20,2))-INDIRECT(ADDRESS(MATCH(1+15,RawEntrie,0)+ROW(RawEntrie)-17,2)),""),"")</f>
        <v>5.0367999999998574</v>
      </c>
      <c r="O71" s="523"/>
      <c r="P71" s="524"/>
      <c r="Q71" s="56"/>
      <c r="R71" s="322">
        <f t="shared" ca="1" si="104"/>
        <v>1409959.3605162799</v>
      </c>
      <c r="S71" s="37">
        <f t="shared" ca="1" si="78"/>
        <v>4.5276225869062863</v>
      </c>
      <c r="T71" s="38">
        <f t="shared" ca="1" si="103"/>
        <v>4.5276225869062863</v>
      </c>
      <c r="U71" s="38">
        <f t="shared" ca="1" si="92"/>
        <v>4.5276225869062863</v>
      </c>
      <c r="V71" s="38">
        <f t="shared" ca="1" si="92"/>
        <v>4.5276225869062863</v>
      </c>
      <c r="W71" s="37">
        <f t="shared" ca="1" si="79"/>
        <v>4.5892237389517199</v>
      </c>
      <c r="X71" s="38">
        <f t="shared" ca="1" si="93"/>
        <v>4.5892237389517199</v>
      </c>
      <c r="Y71" s="38">
        <f t="shared" ca="1" si="93"/>
        <v>4.5892237389517199</v>
      </c>
      <c r="Z71" s="47" t="str">
        <f t="shared" ca="1" si="93"/>
        <v/>
      </c>
      <c r="AA71" s="511" t="str">
        <f t="shared" si="80"/>
        <v/>
      </c>
      <c r="AB71" s="503" t="str">
        <f t="shared" si="81"/>
        <v xml:space="preserve"> </v>
      </c>
      <c r="AC71" s="70" t="str">
        <f t="shared" si="82"/>
        <v xml:space="preserve"> </v>
      </c>
      <c r="AD71" s="70" t="str">
        <f t="shared" si="83"/>
        <v xml:space="preserve"> </v>
      </c>
      <c r="AE71" s="70" t="str">
        <f t="shared" si="84"/>
        <v xml:space="preserve"> </v>
      </c>
      <c r="AF71" s="504" t="str">
        <f t="shared" si="85"/>
        <v xml:space="preserve"> </v>
      </c>
      <c r="AG71" s="507" t="str">
        <f t="shared" si="86"/>
        <v xml:space="preserve"> </v>
      </c>
      <c r="AH71" s="503" t="str">
        <f t="shared" si="87"/>
        <v xml:space="preserve"> </v>
      </c>
      <c r="AI71" s="504" t="str">
        <f t="shared" si="88"/>
        <v xml:space="preserve"> </v>
      </c>
      <c r="AJ71" s="45">
        <f t="shared" ca="1" si="17"/>
        <v>5.0367999999998574</v>
      </c>
      <c r="AK71" s="464" t="e">
        <f t="shared" si="89"/>
        <v>#N/A</v>
      </c>
      <c r="AL71" s="279"/>
    </row>
    <row r="72" spans="1:38" s="14" customFormat="1" ht="12" customHeight="1" x14ac:dyDescent="0.15">
      <c r="A72" s="32">
        <f t="shared" ca="1" si="94"/>
        <v>632.44420352290763</v>
      </c>
      <c r="B72" s="32">
        <f t="shared" ca="1" si="95"/>
        <v>1448492.7685105114</v>
      </c>
      <c r="C72" s="32">
        <f t="shared" ca="1" si="96"/>
        <v>3852.6217818272235</v>
      </c>
      <c r="D72" s="183">
        <f t="shared" ca="1" si="97"/>
        <v>2105.0926241238258</v>
      </c>
      <c r="E72" s="32">
        <f t="shared" ca="1" si="98"/>
        <v>6551656.7974283714</v>
      </c>
      <c r="F72" s="760">
        <f t="shared" ca="1" si="99"/>
        <v>2161.71072456399</v>
      </c>
      <c r="G72" s="531">
        <f t="shared" ca="1" si="100"/>
        <v>1413508.2749546708</v>
      </c>
      <c r="H72" s="532">
        <f t="shared" ca="1" si="101"/>
        <v>6478708.1492094491</v>
      </c>
      <c r="I72" s="31">
        <f t="shared" ca="1" si="102"/>
        <v>75</v>
      </c>
      <c r="J72" s="302">
        <f t="shared" ca="1" si="91"/>
        <v>4.5766084847661181</v>
      </c>
      <c r="K72" s="46">
        <f t="shared" ref="K72:K80" ca="1" si="105">IFERROR((_11Bback)/(_10Bback),"")</f>
        <v>4.5834242812743433</v>
      </c>
      <c r="L72" s="440"/>
      <c r="M72" s="441"/>
      <c r="N72" s="45">
        <f ca="1">IFERROR(IFNEG(INDIRECT(ADDRESS(MATCH(FirstLine+15,RawEntrie,0)+ROW(RawEntrie)+ROW()-20,2))-INDIRECT(ADDRESS(MATCH(1+15,RawEntrie,0)+ROW(RawEntrie)-17,2)),""),"")</f>
        <v>5.104895999999826</v>
      </c>
      <c r="O72" s="523"/>
      <c r="P72" s="524"/>
      <c r="Q72" s="56"/>
      <c r="R72" s="322">
        <f t="shared" ca="1" si="104"/>
        <v>1415613.3675787947</v>
      </c>
      <c r="S72" s="37">
        <f t="shared" ca="1" si="78"/>
        <v>4.5230856099926928</v>
      </c>
      <c r="T72" s="38">
        <f t="shared" ca="1" si="103"/>
        <v>4.5230856099926928</v>
      </c>
      <c r="U72" s="38">
        <f t="shared" ca="1" si="92"/>
        <v>4.5230856099926928</v>
      </c>
      <c r="V72" s="38">
        <f t="shared" ca="1" si="92"/>
        <v>4.5230856099926928</v>
      </c>
      <c r="W72" s="37">
        <f t="shared" ca="1" si="79"/>
        <v>4.5834242812743433</v>
      </c>
      <c r="X72" s="38">
        <f t="shared" ca="1" si="93"/>
        <v>4.5834242812743433</v>
      </c>
      <c r="Y72" s="38">
        <f t="shared" ca="1" si="93"/>
        <v>4.5834242812743433</v>
      </c>
      <c r="Z72" s="47">
        <f t="shared" ca="1" si="93"/>
        <v>4.5834242812743433</v>
      </c>
      <c r="AA72" s="511">
        <f t="shared" ca="1" si="80"/>
        <v>1</v>
      </c>
      <c r="AB72" s="503">
        <f t="shared" ca="1" si="81"/>
        <v>632.44420352290763</v>
      </c>
      <c r="AC72" s="70">
        <f t="shared" ca="1" si="82"/>
        <v>1448492.7685105114</v>
      </c>
      <c r="AD72" s="70">
        <f t="shared" ca="1" si="83"/>
        <v>3852.6217818272235</v>
      </c>
      <c r="AE72" s="70">
        <f t="shared" ca="1" si="84"/>
        <v>2105.0926241238258</v>
      </c>
      <c r="AF72" s="504">
        <f t="shared" ca="1" si="85"/>
        <v>6551656.7974283714</v>
      </c>
      <c r="AG72" s="507">
        <f t="shared" ca="1" si="86"/>
        <v>2161.71072456399</v>
      </c>
      <c r="AH72" s="503">
        <f t="shared" ca="1" si="87"/>
        <v>1413508.2749546708</v>
      </c>
      <c r="AI72" s="504">
        <f t="shared" ca="1" si="88"/>
        <v>6478708.1492094491</v>
      </c>
      <c r="AJ72" s="45">
        <f t="shared" ca="1" si="17"/>
        <v>5.104895999999826</v>
      </c>
      <c r="AK72" s="464">
        <f t="shared" ca="1" si="89"/>
        <v>4.5834242812743433</v>
      </c>
      <c r="AL72" s="279"/>
    </row>
    <row r="73" spans="1:38" s="14" customFormat="1" ht="12" customHeight="1" x14ac:dyDescent="0.15">
      <c r="A73" s="32">
        <f t="shared" ca="1" si="94"/>
        <v>1505.8726586698394</v>
      </c>
      <c r="B73" s="32">
        <f t="shared" ca="1" si="95"/>
        <v>1456405.4114730619</v>
      </c>
      <c r="C73" s="32">
        <f t="shared" ca="1" si="96"/>
        <v>1150.227520032091</v>
      </c>
      <c r="D73" s="183">
        <f t="shared" ca="1" si="97"/>
        <v>1343.2293761260653</v>
      </c>
      <c r="E73" s="32">
        <f t="shared" ca="1" si="98"/>
        <v>6580674.3307843823</v>
      </c>
      <c r="F73" s="760">
        <f t="shared" ca="1" si="99"/>
        <v>-1675.0823857652413</v>
      </c>
      <c r="G73" s="531">
        <f t="shared" ca="1" si="100"/>
        <v>1422182.7811652191</v>
      </c>
      <c r="H73" s="532">
        <f t="shared" ca="1" si="101"/>
        <v>6511562.4756757896</v>
      </c>
      <c r="I73" s="31">
        <f t="shared" ca="1" si="102"/>
        <v>76</v>
      </c>
      <c r="J73" s="302">
        <f t="shared" ca="1" si="91"/>
        <v>4.5742490319509805</v>
      </c>
      <c r="K73" s="46">
        <f t="shared" ca="1" si="105"/>
        <v>4.5785693385633266</v>
      </c>
      <c r="L73" s="440"/>
      <c r="M73" s="441"/>
      <c r="N73" s="45">
        <f ca="1">IFERROR(IFNEG(INDIRECT(ADDRESS(MATCH(FirstLine+15,RawEntrie,0)+ROW(RawEntrie)+ROW()-20,2))-INDIRECT(ADDRESS(MATCH(1+15,RawEntrie,0)+ROW(RawEntrie)-17,2)),""),"")</f>
        <v>5.1729919999993399</v>
      </c>
      <c r="O73" s="523"/>
      <c r="P73" s="524"/>
      <c r="Q73" s="56"/>
      <c r="R73" s="322">
        <f t="shared" ca="1" si="104"/>
        <v>1423526.0105413452</v>
      </c>
      <c r="S73" s="37">
        <f t="shared" ca="1" si="78"/>
        <v>4.5184357864534759</v>
      </c>
      <c r="T73" s="38">
        <f t="shared" ca="1" si="103"/>
        <v>4.5184357864534759</v>
      </c>
      <c r="U73" s="38">
        <f t="shared" ca="1" si="92"/>
        <v>4.5184357864534759</v>
      </c>
      <c r="V73" s="38">
        <f t="shared" ca="1" si="92"/>
        <v>4.5184357864534759</v>
      </c>
      <c r="W73" s="37">
        <f t="shared" ca="1" si="79"/>
        <v>4.5785693385633266</v>
      </c>
      <c r="X73" s="38">
        <f t="shared" ca="1" si="93"/>
        <v>4.5785693385633266</v>
      </c>
      <c r="Y73" s="38">
        <f t="shared" ca="1" si="93"/>
        <v>4.5785693385633266</v>
      </c>
      <c r="Z73" s="47">
        <f t="shared" ca="1" si="93"/>
        <v>4.5785693385633266</v>
      </c>
      <c r="AA73" s="511">
        <f t="shared" ca="1" si="80"/>
        <v>1</v>
      </c>
      <c r="AB73" s="503">
        <f t="shared" ca="1" si="81"/>
        <v>1505.8726586698394</v>
      </c>
      <c r="AC73" s="70">
        <f t="shared" ca="1" si="82"/>
        <v>1456405.4114730619</v>
      </c>
      <c r="AD73" s="70">
        <f t="shared" ca="1" si="83"/>
        <v>1150.227520032091</v>
      </c>
      <c r="AE73" s="70">
        <f t="shared" ca="1" si="84"/>
        <v>1343.2293761260653</v>
      </c>
      <c r="AF73" s="504">
        <f t="shared" ca="1" si="85"/>
        <v>6580674.3307843823</v>
      </c>
      <c r="AG73" s="507">
        <f t="shared" ca="1" si="86"/>
        <v>-1675.0823857652413</v>
      </c>
      <c r="AH73" s="503">
        <f t="shared" ca="1" si="87"/>
        <v>1422182.7811652191</v>
      </c>
      <c r="AI73" s="504">
        <f t="shared" ca="1" si="88"/>
        <v>6511562.4756757896</v>
      </c>
      <c r="AJ73" s="45">
        <f t="shared" ca="1" si="17"/>
        <v>5.1729919999993399</v>
      </c>
      <c r="AK73" s="464">
        <f t="shared" ca="1" si="89"/>
        <v>4.5785693385633266</v>
      </c>
      <c r="AL73" s="279"/>
    </row>
    <row r="74" spans="1:38" s="14" customFormat="1" ht="12" customHeight="1" x14ac:dyDescent="0.15">
      <c r="A74" s="32">
        <f t="shared" ca="1" si="94"/>
        <v>2589.502489264738</v>
      </c>
      <c r="B74" s="32">
        <f t="shared" ca="1" si="95"/>
        <v>1458187.790484491</v>
      </c>
      <c r="C74" s="32">
        <f t="shared" ca="1" si="96"/>
        <v>-1815.3959037891073</v>
      </c>
      <c r="D74" s="183">
        <f t="shared" ca="1" si="97"/>
        <v>575.05871910032124</v>
      </c>
      <c r="E74" s="32">
        <f t="shared" ca="1" si="98"/>
        <v>6585177.8282084502</v>
      </c>
      <c r="F74" s="760">
        <f t="shared" ca="1" si="99"/>
        <v>-3600.9850475644198</v>
      </c>
      <c r="G74" s="531">
        <f t="shared" ca="1" si="100"/>
        <v>1424733.3308336739</v>
      </c>
      <c r="H74" s="532">
        <f t="shared" ca="1" si="101"/>
        <v>6517991.875761657</v>
      </c>
      <c r="I74" s="31">
        <f t="shared" ca="1" si="102"/>
        <v>77</v>
      </c>
      <c r="J74" s="302">
        <f t="shared" ca="1" si="91"/>
        <v>4.5730397179566431</v>
      </c>
      <c r="K74" s="46">
        <f t="shared" ca="1" si="105"/>
        <v>4.5748855134509236</v>
      </c>
      <c r="L74" s="440"/>
      <c r="M74" s="441"/>
      <c r="N74" s="45">
        <f ca="1">IFERROR(IFNEG(INDIRECT(ADDRESS(MATCH(FirstLine+15,RawEntrie,0)+ROW(RawEntrie)+ROW()-20,2))-INDIRECT(ADDRESS(MATCH(1+15,RawEntrie,0)+ROW(RawEntrie)-17,2)),""),"")</f>
        <v>5.2408319999999549</v>
      </c>
      <c r="O74" s="523"/>
      <c r="P74" s="524"/>
      <c r="Q74" s="56"/>
      <c r="R74" s="322">
        <f t="shared" ca="1" si="104"/>
        <v>1425308.3895527744</v>
      </c>
      <c r="S74" s="37">
        <f t="shared" ca="1" si="78"/>
        <v>4.5160012113532293</v>
      </c>
      <c r="T74" s="38">
        <f t="shared" ca="1" si="103"/>
        <v>4.5160012113532293</v>
      </c>
      <c r="U74" s="38">
        <f t="shared" ca="1" si="92"/>
        <v>4.5160012113532293</v>
      </c>
      <c r="V74" s="38">
        <f t="shared" ca="1" si="92"/>
        <v>4.5160012113532293</v>
      </c>
      <c r="W74" s="37">
        <f t="shared" ca="1" si="79"/>
        <v>4.5748855134509236</v>
      </c>
      <c r="X74" s="38">
        <f t="shared" ca="1" si="93"/>
        <v>4.5748855134509236</v>
      </c>
      <c r="Y74" s="38">
        <f t="shared" ca="1" si="93"/>
        <v>4.5748855134509236</v>
      </c>
      <c r="Z74" s="47">
        <f t="shared" ca="1" si="93"/>
        <v>4.5748855134509236</v>
      </c>
      <c r="AA74" s="511">
        <f t="shared" ca="1" si="80"/>
        <v>1</v>
      </c>
      <c r="AB74" s="503">
        <f t="shared" ca="1" si="81"/>
        <v>2589.502489264738</v>
      </c>
      <c r="AC74" s="70">
        <f t="shared" ca="1" si="82"/>
        <v>1458187.790484491</v>
      </c>
      <c r="AD74" s="70">
        <f t="shared" ca="1" si="83"/>
        <v>-1815.3959037891073</v>
      </c>
      <c r="AE74" s="70">
        <f t="shared" ca="1" si="84"/>
        <v>575.05871910032124</v>
      </c>
      <c r="AF74" s="504">
        <f t="shared" ca="1" si="85"/>
        <v>6585177.8282084502</v>
      </c>
      <c r="AG74" s="507">
        <f t="shared" ca="1" si="86"/>
        <v>-3600.9850475644198</v>
      </c>
      <c r="AH74" s="503">
        <f t="shared" ca="1" si="87"/>
        <v>1424733.3308336739</v>
      </c>
      <c r="AI74" s="504">
        <f t="shared" ca="1" si="88"/>
        <v>6517991.875761657</v>
      </c>
      <c r="AJ74" s="45">
        <f t="shared" ca="1" si="17"/>
        <v>5.2408319999999549</v>
      </c>
      <c r="AK74" s="464">
        <f t="shared" ca="1" si="89"/>
        <v>4.5748855134509236</v>
      </c>
      <c r="AL74" s="279"/>
    </row>
    <row r="75" spans="1:38" s="14" customFormat="1" ht="12" customHeight="1" x14ac:dyDescent="0.15">
      <c r="A75" s="32">
        <f t="shared" ca="1" si="94"/>
        <v>49.284808434422303</v>
      </c>
      <c r="B75" s="32">
        <f t="shared" ca="1" si="95"/>
        <v>1455955.9431739857</v>
      </c>
      <c r="C75" s="32">
        <f t="shared" ca="1" si="96"/>
        <v>369.55075341685006</v>
      </c>
      <c r="D75" s="183">
        <f t="shared" ca="1" si="97"/>
        <v>195.74851317799391</v>
      </c>
      <c r="E75" s="32">
        <f t="shared" ca="1" si="98"/>
        <v>6590760.6072558435</v>
      </c>
      <c r="F75" s="760">
        <f t="shared" ca="1" si="99"/>
        <v>-2391.7501776711579</v>
      </c>
      <c r="G75" s="531">
        <f t="shared" ca="1" si="100"/>
        <v>1422880.7937290911</v>
      </c>
      <c r="H75" s="532">
        <f t="shared" ca="1" si="101"/>
        <v>6522365.4199391566</v>
      </c>
      <c r="I75" s="31">
        <f t="shared" ca="1" si="102"/>
        <v>78</v>
      </c>
      <c r="J75" s="302">
        <f t="shared" ca="1" si="91"/>
        <v>4.5832850351550301</v>
      </c>
      <c r="K75" s="46">
        <f t="shared" ca="1" si="105"/>
        <v>4.5839155667041638</v>
      </c>
      <c r="L75" s="440"/>
      <c r="M75" s="441"/>
      <c r="N75" s="45">
        <f ca="1">IFERROR(IFNEG(INDIRECT(ADDRESS(MATCH(FirstLine+15,RawEntrie,0)+ROW(RawEntrie)+ROW()-20,2))-INDIRECT(ADDRESS(MATCH(1+15,RawEntrie,0)+ROW(RawEntrie)-17,2)),""),"")</f>
        <v>5.3089279999999235</v>
      </c>
      <c r="O75" s="523"/>
      <c r="P75" s="524"/>
      <c r="Q75" s="56"/>
      <c r="R75" s="322">
        <f t="shared" ca="1" si="104"/>
        <v>1423076.542242269</v>
      </c>
      <c r="S75" s="37">
        <f t="shared" ca="1" si="78"/>
        <v>4.5267582705064395</v>
      </c>
      <c r="T75" s="38">
        <f t="shared" ca="1" si="103"/>
        <v>4.5267582705064395</v>
      </c>
      <c r="U75" s="38">
        <f t="shared" ca="1" si="92"/>
        <v>4.5267582705064395</v>
      </c>
      <c r="V75" s="38">
        <f t="shared" ca="1" si="92"/>
        <v>4.5267582705064395</v>
      </c>
      <c r="W75" s="37">
        <f t="shared" ca="1" si="79"/>
        <v>4.5839155667041638</v>
      </c>
      <c r="X75" s="38">
        <f t="shared" ca="1" si="93"/>
        <v>4.5839155667041638</v>
      </c>
      <c r="Y75" s="38">
        <f t="shared" ca="1" si="93"/>
        <v>4.5839155667041638</v>
      </c>
      <c r="Z75" s="47">
        <f t="shared" ca="1" si="93"/>
        <v>4.5839155667041638</v>
      </c>
      <c r="AA75" s="511">
        <f t="shared" ca="1" si="80"/>
        <v>1</v>
      </c>
      <c r="AB75" s="503">
        <f t="shared" ca="1" si="81"/>
        <v>49.284808434422303</v>
      </c>
      <c r="AC75" s="70">
        <f t="shared" ca="1" si="82"/>
        <v>1455955.9431739857</v>
      </c>
      <c r="AD75" s="70">
        <f t="shared" ca="1" si="83"/>
        <v>369.55075341685006</v>
      </c>
      <c r="AE75" s="70">
        <f t="shared" ca="1" si="84"/>
        <v>195.74851317799391</v>
      </c>
      <c r="AF75" s="504">
        <f t="shared" ca="1" si="85"/>
        <v>6590760.6072558435</v>
      </c>
      <c r="AG75" s="507">
        <f t="shared" ca="1" si="86"/>
        <v>-2391.7501776711579</v>
      </c>
      <c r="AH75" s="503">
        <f t="shared" ca="1" si="87"/>
        <v>1422880.7937290911</v>
      </c>
      <c r="AI75" s="504">
        <f t="shared" ca="1" si="88"/>
        <v>6522365.4199391566</v>
      </c>
      <c r="AJ75" s="45">
        <f t="shared" ca="1" si="17"/>
        <v>5.3089279999999235</v>
      </c>
      <c r="AK75" s="464">
        <f t="shared" ca="1" si="89"/>
        <v>4.5839155667041638</v>
      </c>
      <c r="AL75" s="279"/>
    </row>
    <row r="76" spans="1:38" s="14" customFormat="1" ht="12" customHeight="1" x14ac:dyDescent="0.15">
      <c r="A76" s="32">
        <f t="shared" ca="1" si="94"/>
        <v>-1375.7447070219496</v>
      </c>
      <c r="B76" s="32">
        <f t="shared" ca="1" si="95"/>
        <v>1458424.3083083231</v>
      </c>
      <c r="C76" s="32">
        <f t="shared" ca="1" si="96"/>
        <v>2197.438867050314</v>
      </c>
      <c r="D76" s="183">
        <f t="shared" ca="1" si="97"/>
        <v>258.34006591953334</v>
      </c>
      <c r="E76" s="32">
        <f t="shared" ca="1" si="98"/>
        <v>6603557.1263090838</v>
      </c>
      <c r="F76" s="760">
        <f t="shared" ca="1" si="99"/>
        <v>533.83189273170683</v>
      </c>
      <c r="G76" s="531">
        <f t="shared" ca="1" si="100"/>
        <v>1425286.5673106869</v>
      </c>
      <c r="H76" s="532">
        <f t="shared" ca="1" si="101"/>
        <v>6532236.3569219941</v>
      </c>
      <c r="I76" s="31">
        <f t="shared" ca="1" si="102"/>
        <v>79</v>
      </c>
      <c r="J76" s="302">
        <f t="shared" ca="1" si="91"/>
        <v>4.5822732929144268</v>
      </c>
      <c r="K76" s="46">
        <f t="shared" ca="1" si="105"/>
        <v>4.5831038520536929</v>
      </c>
      <c r="L76" s="440"/>
      <c r="M76" s="441"/>
      <c r="N76" s="45">
        <f ca="1">IFERROR(IFNEG(INDIRECT(ADDRESS(MATCH(FirstLine+15,RawEntrie,0)+ROW(RawEntrie)+ROW()-20,2))-INDIRECT(ADDRESS(MATCH(1+15,RawEntrie,0)+ROW(RawEntrie)-17,2)),""),"")</f>
        <v>5.3770239999994374</v>
      </c>
      <c r="O76" s="523"/>
      <c r="P76" s="524"/>
      <c r="Q76" s="56"/>
      <c r="R76" s="322">
        <f t="shared" ca="1" si="104"/>
        <v>1425544.9073766065</v>
      </c>
      <c r="S76" s="37">
        <f t="shared" ca="1" si="78"/>
        <v>4.527870996588625</v>
      </c>
      <c r="T76" s="38">
        <f t="shared" ca="1" si="103"/>
        <v>4.527870996588625</v>
      </c>
      <c r="U76" s="38">
        <f t="shared" ca="1" si="92"/>
        <v>4.527870996588625</v>
      </c>
      <c r="V76" s="38">
        <f t="shared" ca="1" si="92"/>
        <v>4.527870996588625</v>
      </c>
      <c r="W76" s="37">
        <f t="shared" ca="1" si="79"/>
        <v>4.5831038520536929</v>
      </c>
      <c r="X76" s="38">
        <f t="shared" ca="1" si="93"/>
        <v>4.5831038520536929</v>
      </c>
      <c r="Y76" s="38">
        <f t="shared" ca="1" si="93"/>
        <v>4.5831038520536929</v>
      </c>
      <c r="Z76" s="47">
        <f t="shared" ca="1" si="93"/>
        <v>4.5831038520536929</v>
      </c>
      <c r="AA76" s="511">
        <f t="shared" ca="1" si="80"/>
        <v>1</v>
      </c>
      <c r="AB76" s="503">
        <f t="shared" ca="1" si="81"/>
        <v>-1375.7447070219496</v>
      </c>
      <c r="AC76" s="70">
        <f t="shared" ca="1" si="82"/>
        <v>1458424.3083083231</v>
      </c>
      <c r="AD76" s="70">
        <f t="shared" ca="1" si="83"/>
        <v>2197.438867050314</v>
      </c>
      <c r="AE76" s="70">
        <f t="shared" ca="1" si="84"/>
        <v>258.34006591953334</v>
      </c>
      <c r="AF76" s="504">
        <f t="shared" ca="1" si="85"/>
        <v>6603557.1263090838</v>
      </c>
      <c r="AG76" s="507">
        <f t="shared" ca="1" si="86"/>
        <v>533.83189273170683</v>
      </c>
      <c r="AH76" s="503">
        <f t="shared" ca="1" si="87"/>
        <v>1425286.5673106869</v>
      </c>
      <c r="AI76" s="504">
        <f t="shared" ca="1" si="88"/>
        <v>6532236.3569219941</v>
      </c>
      <c r="AJ76" s="45">
        <f t="shared" ca="1" si="17"/>
        <v>5.3770239999994374</v>
      </c>
      <c r="AK76" s="464">
        <f t="shared" ca="1" si="89"/>
        <v>4.5831038520536929</v>
      </c>
      <c r="AL76" s="279"/>
    </row>
    <row r="77" spans="1:38" s="14" customFormat="1" ht="12" customHeight="1" x14ac:dyDescent="0.15">
      <c r="A77" s="32">
        <f t="shared" ca="1" si="94"/>
        <v>2946.8684104821041</v>
      </c>
      <c r="B77" s="32">
        <f t="shared" ca="1" si="95"/>
        <v>1450246.6660988904</v>
      </c>
      <c r="C77" s="32">
        <f t="shared" ca="1" si="96"/>
        <v>-379.25716535100582</v>
      </c>
      <c r="D77" s="183">
        <f t="shared" ca="1" si="97"/>
        <v>1425.7679565902865</v>
      </c>
      <c r="E77" s="32">
        <f t="shared" ca="1" si="98"/>
        <v>6550847.044759742</v>
      </c>
      <c r="F77" s="760">
        <f t="shared" ca="1" si="99"/>
        <v>3689.2056022089018</v>
      </c>
      <c r="G77" s="531">
        <f t="shared" ca="1" si="100"/>
        <v>1415941.4972105834</v>
      </c>
      <c r="H77" s="532">
        <f t="shared" ca="1" si="101"/>
        <v>6476370.9016631749</v>
      </c>
      <c r="I77" s="31">
        <f t="shared" ca="1" si="102"/>
        <v>80</v>
      </c>
      <c r="J77" s="302">
        <f t="shared" ca="1" si="91"/>
        <v>4.5692962302888436</v>
      </c>
      <c r="K77" s="46">
        <f t="shared" ca="1" si="105"/>
        <v>4.5738972368714945</v>
      </c>
      <c r="L77" s="440"/>
      <c r="M77" s="441"/>
      <c r="N77" s="45">
        <f ca="1">IFERROR(IFNEG(INDIRECT(ADDRESS(MATCH(FirstLine+15,RawEntrie,0)+ROW(RawEntrie)+ROW()-20,2))-INDIRECT(ADDRESS(MATCH(1+15,RawEntrie,0)+ROW(RawEntrie)-17,2)),""),"")</f>
        <v>5.445119999999406</v>
      </c>
      <c r="O77" s="523"/>
      <c r="P77" s="524"/>
      <c r="Q77" s="56"/>
      <c r="R77" s="322">
        <f t="shared" ca="1" si="104"/>
        <v>1417367.2651671737</v>
      </c>
      <c r="S77" s="37">
        <f t="shared" ca="1" si="78"/>
        <v>4.5170571309646776</v>
      </c>
      <c r="T77" s="38">
        <f t="shared" ca="1" si="103"/>
        <v>4.5170571309646776</v>
      </c>
      <c r="U77" s="38">
        <f t="shared" ca="1" si="92"/>
        <v>4.5170571309646776</v>
      </c>
      <c r="V77" s="38">
        <f t="shared" ca="1" si="92"/>
        <v>4.5170571309646776</v>
      </c>
      <c r="W77" s="37">
        <f t="shared" ca="1" si="79"/>
        <v>4.5738972368714945</v>
      </c>
      <c r="X77" s="38">
        <f t="shared" ca="1" si="93"/>
        <v>4.5738972368714945</v>
      </c>
      <c r="Y77" s="38">
        <f t="shared" ca="1" si="93"/>
        <v>4.5738972368714945</v>
      </c>
      <c r="Z77" s="47">
        <f t="shared" ca="1" si="93"/>
        <v>4.5738972368714945</v>
      </c>
      <c r="AA77" s="511">
        <f t="shared" ca="1" si="80"/>
        <v>1</v>
      </c>
      <c r="AB77" s="503">
        <f t="shared" ca="1" si="81"/>
        <v>2946.8684104821041</v>
      </c>
      <c r="AC77" s="70">
        <f t="shared" ca="1" si="82"/>
        <v>1450246.6660988904</v>
      </c>
      <c r="AD77" s="70">
        <f t="shared" ca="1" si="83"/>
        <v>-379.25716535100582</v>
      </c>
      <c r="AE77" s="70">
        <f t="shared" ca="1" si="84"/>
        <v>1425.7679565902865</v>
      </c>
      <c r="AF77" s="504">
        <f t="shared" ca="1" si="85"/>
        <v>6550847.044759742</v>
      </c>
      <c r="AG77" s="507">
        <f t="shared" ca="1" si="86"/>
        <v>3689.2056022089018</v>
      </c>
      <c r="AH77" s="503">
        <f t="shared" ca="1" si="87"/>
        <v>1415941.4972105834</v>
      </c>
      <c r="AI77" s="504">
        <f t="shared" ca="1" si="88"/>
        <v>6476370.9016631749</v>
      </c>
      <c r="AJ77" s="45">
        <f t="shared" ca="1" si="17"/>
        <v>5.445119999999406</v>
      </c>
      <c r="AK77" s="464">
        <f t="shared" ca="1" si="89"/>
        <v>4.5738972368714945</v>
      </c>
      <c r="AL77" s="279"/>
    </row>
    <row r="78" spans="1:38" s="14" customFormat="1" ht="12" customHeight="1" x14ac:dyDescent="0.15">
      <c r="A78" s="32">
        <f t="shared" ca="1" si="94"/>
        <v>2350.9386708640304</v>
      </c>
      <c r="B78" s="32">
        <f t="shared" ca="1" si="95"/>
        <v>1447416.774926017</v>
      </c>
      <c r="C78" s="32">
        <f t="shared" ca="1" si="96"/>
        <v>-490.65923795206618</v>
      </c>
      <c r="D78" s="183">
        <f t="shared" ca="1" si="97"/>
        <v>1051.421929739317</v>
      </c>
      <c r="E78" s="32">
        <f t="shared" ca="1" si="98"/>
        <v>6534933.4553590463</v>
      </c>
      <c r="F78" s="760">
        <f t="shared" ca="1" si="99"/>
        <v>1111.6907318374911</v>
      </c>
      <c r="G78" s="531">
        <f t="shared" ca="1" si="100"/>
        <v>1413485.952064561</v>
      </c>
      <c r="H78" s="532">
        <f t="shared" ca="1" si="101"/>
        <v>6463034.8271328509</v>
      </c>
      <c r="I78" s="31">
        <f t="shared" ca="1" si="102"/>
        <v>81</v>
      </c>
      <c r="J78" s="302">
        <f t="shared" ca="1" si="91"/>
        <v>4.5690095899572132</v>
      </c>
      <c r="K78" s="46">
        <f t="shared" ca="1" si="105"/>
        <v>4.5724082490475659</v>
      </c>
      <c r="L78" s="440"/>
      <c r="M78" s="441"/>
      <c r="N78" s="45">
        <f ca="1">IFERROR(IFNEG(INDIRECT(ADDRESS(MATCH(FirstLine+15,RawEntrie,0)+ROW(RawEntrie)+ROW()-20,2))-INDIRECT(ADDRESS(MATCH(1+15,RawEntrie,0)+ROW(RawEntrie)-17,2)),""),"")</f>
        <v>5.5132159999998294</v>
      </c>
      <c r="O78" s="525"/>
      <c r="P78" s="526"/>
      <c r="Q78" s="56"/>
      <c r="R78" s="322">
        <f t="shared" ca="1" si="104"/>
        <v>1414537.3739943004</v>
      </c>
      <c r="S78" s="37">
        <f ca="1">IFERROR(IF(E78&gt;LimitSignB11b,E78/B78,""),"")</f>
        <v>4.514894098621367</v>
      </c>
      <c r="T78" s="38">
        <f t="shared" ca="1" si="103"/>
        <v>4.514894098621367</v>
      </c>
      <c r="U78" s="38">
        <f t="shared" ca="1" si="92"/>
        <v>4.514894098621367</v>
      </c>
      <c r="V78" s="38">
        <f t="shared" ca="1" si="92"/>
        <v>4.514894098621367</v>
      </c>
      <c r="W78" s="37">
        <f ca="1">IFERROR(IF(E78&gt;LimitSignB11b,H78/G78,""),"")</f>
        <v>4.5724082490475659</v>
      </c>
      <c r="X78" s="38">
        <f t="shared" ca="1" si="93"/>
        <v>4.5724082490475659</v>
      </c>
      <c r="Y78" s="38">
        <f t="shared" ca="1" si="93"/>
        <v>4.5724082490475659</v>
      </c>
      <c r="Z78" s="47">
        <f t="shared" ca="1" si="93"/>
        <v>4.5724082490475659</v>
      </c>
      <c r="AA78" s="511">
        <f ca="1">IF(K78&lt;&gt;"",1,"")</f>
        <v>1</v>
      </c>
      <c r="AB78" s="503">
        <f t="shared" ref="AB78:AI79" ca="1" si="106">IF($AA78=1,A78," ")</f>
        <v>2350.9386708640304</v>
      </c>
      <c r="AC78" s="70">
        <f t="shared" ca="1" si="106"/>
        <v>1447416.774926017</v>
      </c>
      <c r="AD78" s="70">
        <f t="shared" ca="1" si="106"/>
        <v>-490.65923795206618</v>
      </c>
      <c r="AE78" s="70">
        <f t="shared" ca="1" si="106"/>
        <v>1051.421929739317</v>
      </c>
      <c r="AF78" s="504">
        <f t="shared" ca="1" si="106"/>
        <v>6534933.4553590463</v>
      </c>
      <c r="AG78" s="507">
        <f t="shared" ca="1" si="106"/>
        <v>1111.6907318374911</v>
      </c>
      <c r="AH78" s="503">
        <f t="shared" ca="1" si="106"/>
        <v>1413485.952064561</v>
      </c>
      <c r="AI78" s="504">
        <f t="shared" ca="1" si="106"/>
        <v>6463034.8271328509</v>
      </c>
      <c r="AJ78" s="45">
        <f t="shared" ca="1" si="17"/>
        <v>5.5132159999998294</v>
      </c>
      <c r="AK78" s="464">
        <f ca="1">IF(K78="",NA(),K78)</f>
        <v>4.5724082490475659</v>
      </c>
      <c r="AL78" s="279"/>
    </row>
    <row r="79" spans="1:38" s="14" customFormat="1" ht="12" customHeight="1" x14ac:dyDescent="0.15">
      <c r="A79" s="32">
        <f t="shared" ca="1" si="94"/>
        <v>-327.52294823523334</v>
      </c>
      <c r="B79" s="32">
        <f t="shared" ca="1" si="95"/>
        <v>1442685.6541241787</v>
      </c>
      <c r="C79" s="32">
        <f t="shared" ca="1" si="96"/>
        <v>2796.0134610274836</v>
      </c>
      <c r="D79" s="183">
        <f t="shared" ca="1" si="97"/>
        <v>1100.9296286603576</v>
      </c>
      <c r="E79" s="32">
        <f t="shared" ca="1" si="98"/>
        <v>6516017.0670351116</v>
      </c>
      <c r="F79" s="760">
        <f t="shared" ca="1" si="99"/>
        <v>412.28767194807097</v>
      </c>
      <c r="G79" s="531">
        <f t="shared" ca="1" si="100"/>
        <v>1408705.3235638016</v>
      </c>
      <c r="H79" s="532">
        <f t="shared" ca="1" si="101"/>
        <v>6444817.8418688057</v>
      </c>
      <c r="I79" s="31">
        <f t="shared" ca="1" si="102"/>
        <v>82</v>
      </c>
      <c r="J79" s="302">
        <f t="shared" ca="1" si="91"/>
        <v>4.5714209504140859</v>
      </c>
      <c r="K79" s="46">
        <f t="shared" ca="1" si="105"/>
        <v>4.5749936016174315</v>
      </c>
      <c r="L79" s="440"/>
      <c r="M79" s="441"/>
      <c r="N79" s="45">
        <f ca="1">IFERROR(IFNEG(INDIRECT(ADDRESS(MATCH(FirstLine+15,RawEntrie,0)+ROW(RawEntrie)+ROW()-20,2))-INDIRECT(ADDRESS(MATCH(1+15,RawEntrie,0)+ROW(RawEntrie)-17,2)),""),"")</f>
        <v>5.5810559999995348</v>
      </c>
      <c r="O79" s="54"/>
      <c r="P79" s="56"/>
      <c r="Q79" s="56"/>
      <c r="R79" s="322">
        <f t="shared" ca="1" si="104"/>
        <v>1409806.253192462</v>
      </c>
      <c r="S79" s="37">
        <f ca="1">IFERROR(IF(E79&gt;LimitSignB11b,E79/B79,""),"")</f>
        <v>4.5165882452687418</v>
      </c>
      <c r="T79" s="38">
        <f t="shared" ca="1" si="103"/>
        <v>4.5165882452687418</v>
      </c>
      <c r="U79" s="38">
        <f t="shared" ca="1" si="92"/>
        <v>4.5165882452687418</v>
      </c>
      <c r="V79" s="38">
        <f t="shared" ca="1" si="92"/>
        <v>4.5165882452687418</v>
      </c>
      <c r="W79" s="37">
        <f ca="1">IFERROR(IF(E79&gt;LimitSignB11b,H79/G79,""),"")</f>
        <v>4.5749936016174315</v>
      </c>
      <c r="X79" s="38">
        <f t="shared" ca="1" si="93"/>
        <v>4.5749936016174315</v>
      </c>
      <c r="Y79" s="38">
        <f t="shared" ca="1" si="93"/>
        <v>4.5749936016174315</v>
      </c>
      <c r="Z79" s="47">
        <f t="shared" ca="1" si="93"/>
        <v>4.5749936016174315</v>
      </c>
      <c r="AA79" s="511">
        <f ca="1">IF(K79&lt;&gt;"",1,"")</f>
        <v>1</v>
      </c>
      <c r="AB79" s="503">
        <f t="shared" ca="1" si="106"/>
        <v>-327.52294823523334</v>
      </c>
      <c r="AC79" s="70">
        <f t="shared" ca="1" si="106"/>
        <v>1442685.6541241787</v>
      </c>
      <c r="AD79" s="70">
        <f t="shared" ca="1" si="106"/>
        <v>2796.0134610274836</v>
      </c>
      <c r="AE79" s="70">
        <f t="shared" ca="1" si="106"/>
        <v>1100.9296286603576</v>
      </c>
      <c r="AF79" s="504">
        <f t="shared" ca="1" si="106"/>
        <v>6516017.0670351116</v>
      </c>
      <c r="AG79" s="507">
        <f t="shared" ca="1" si="106"/>
        <v>412.28767194807097</v>
      </c>
      <c r="AH79" s="503">
        <f t="shared" ca="1" si="106"/>
        <v>1408705.3235638016</v>
      </c>
      <c r="AI79" s="504">
        <f t="shared" ca="1" si="106"/>
        <v>6444817.8418688057</v>
      </c>
      <c r="AJ79" s="45">
        <f t="shared" ca="1" si="17"/>
        <v>5.5810559999995348</v>
      </c>
      <c r="AK79" s="464">
        <f ca="1">IF(K79="",NA(),K79)</f>
        <v>4.5749936016174315</v>
      </c>
      <c r="AL79" s="279"/>
    </row>
    <row r="80" spans="1:38" s="14" customFormat="1" ht="12" customHeight="1" x14ac:dyDescent="0.15">
      <c r="A80" s="32">
        <f t="shared" ca="1" si="94"/>
        <v>-1918.991761536683</v>
      </c>
      <c r="B80" s="32">
        <f t="shared" ca="1" si="95"/>
        <v>1432956.3489359415</v>
      </c>
      <c r="C80" s="32">
        <f t="shared" ca="1" si="96"/>
        <v>-312.51931272034926</v>
      </c>
      <c r="D80" s="183">
        <f t="shared" ca="1" si="97"/>
        <v>-1184.321372416704</v>
      </c>
      <c r="E80" s="32">
        <f t="shared" ca="1" si="98"/>
        <v>6470560.8059005681</v>
      </c>
      <c r="F80" s="760">
        <f t="shared" ca="1" si="99"/>
        <v>-206.40862114441643</v>
      </c>
      <c r="G80" s="531">
        <f t="shared" ca="1" si="100"/>
        <v>1401261.2693766416</v>
      </c>
      <c r="H80" s="532">
        <f t="shared" ca="1" si="101"/>
        <v>6399980.2770273546</v>
      </c>
      <c r="I80" s="31">
        <f t="shared" ca="1" si="102"/>
        <v>83</v>
      </c>
      <c r="J80" s="302">
        <f t="shared" ca="1" si="91"/>
        <v>4.5711632393850703</v>
      </c>
      <c r="K80" s="46">
        <f t="shared" ca="1" si="105"/>
        <v>4.567299772635848</v>
      </c>
      <c r="L80" s="440"/>
      <c r="M80" s="441"/>
      <c r="N80" s="45">
        <f ca="1">IFERROR(IFNEG(INDIRECT(ADDRESS(MATCH(FirstLine+15,RawEntrie,0)+ROW(RawEntrie)+ROW()-20,2))-INDIRECT(ADDRESS(MATCH(1+15,RawEntrie,0)+ROW(RawEntrie)-17,2)),""),"")</f>
        <v>5.6491519999995035</v>
      </c>
      <c r="O80" s="54"/>
      <c r="P80" s="56"/>
      <c r="Q80" s="56"/>
      <c r="R80" s="322">
        <f t="shared" ca="1" si="104"/>
        <v>1400076.9480042248</v>
      </c>
      <c r="S80" s="37">
        <f t="shared" ref="S80:S95" ca="1" si="107">IFERROR(IF(E80&gt;LimitSignB11b,E80/B80,""),"")</f>
        <v>4.5155323891794463</v>
      </c>
      <c r="T80" s="38">
        <f t="shared" ca="1" si="103"/>
        <v>4.5155323891794463</v>
      </c>
      <c r="U80" s="38">
        <f t="shared" ca="1" si="92"/>
        <v>4.5155323891794463</v>
      </c>
      <c r="V80" s="38">
        <f t="shared" ca="1" si="92"/>
        <v>4.5155323891794463</v>
      </c>
      <c r="W80" s="37">
        <f t="shared" ref="W80:W95" ca="1" si="108">IFERROR(IF(E80&gt;LimitSignB11b,H80/G80,""),"")</f>
        <v>4.567299772635848</v>
      </c>
      <c r="X80" s="38">
        <f t="shared" ca="1" si="93"/>
        <v>4.567299772635848</v>
      </c>
      <c r="Y80" s="38">
        <f t="shared" ca="1" si="93"/>
        <v>4.567299772635848</v>
      </c>
      <c r="Z80" s="47">
        <f t="shared" ca="1" si="93"/>
        <v>4.567299772635848</v>
      </c>
      <c r="AA80" s="511">
        <f t="shared" ref="AA80:AA95" ca="1" si="109">IF(K80&lt;&gt;"",1,"")</f>
        <v>1</v>
      </c>
      <c r="AB80" s="503">
        <f t="shared" ref="AB80:AB95" ca="1" si="110">IF($AA80=1,A80," ")</f>
        <v>-1918.991761536683</v>
      </c>
      <c r="AC80" s="70">
        <f t="shared" ref="AC80:AC95" ca="1" si="111">IF($AA80=1,B80," ")</f>
        <v>1432956.3489359415</v>
      </c>
      <c r="AD80" s="70">
        <f t="shared" ref="AD80:AD95" ca="1" si="112">IF($AA80=1,C80," ")</f>
        <v>-312.51931272034926</v>
      </c>
      <c r="AE80" s="70">
        <f t="shared" ref="AE80:AE95" ca="1" si="113">IF($AA80=1,D80," ")</f>
        <v>-1184.321372416704</v>
      </c>
      <c r="AF80" s="504">
        <f t="shared" ref="AF80:AF95" ca="1" si="114">IF($AA80=1,E80," ")</f>
        <v>6470560.8059005681</v>
      </c>
      <c r="AG80" s="507">
        <f t="shared" ref="AG80:AG95" ca="1" si="115">IF($AA80=1,F80," ")</f>
        <v>-206.40862114441643</v>
      </c>
      <c r="AH80" s="503">
        <f t="shared" ref="AH80:AH95" ca="1" si="116">IF($AA80=1,G80," ")</f>
        <v>1401261.2693766416</v>
      </c>
      <c r="AI80" s="504">
        <f t="shared" ref="AI80:AI95" ca="1" si="117">IF($AA80=1,H80," ")</f>
        <v>6399980.2770273546</v>
      </c>
      <c r="AJ80" s="45">
        <f t="shared" ca="1" si="17"/>
        <v>5.6491519999995035</v>
      </c>
      <c r="AK80" s="464">
        <f t="shared" ref="AK80:AK95" ca="1" si="118">IF(K80="",NA(),K80)</f>
        <v>4.567299772635848</v>
      </c>
      <c r="AL80" s="279"/>
    </row>
    <row r="81" spans="1:38" s="14" customFormat="1" ht="12" customHeight="1" x14ac:dyDescent="0.15">
      <c r="A81" s="32">
        <f t="shared" ca="1" si="94"/>
        <v>2598.762779047629</v>
      </c>
      <c r="B81" s="32">
        <f t="shared" ca="1" si="95"/>
        <v>1420130.9556664089</v>
      </c>
      <c r="C81" s="32">
        <f t="shared" ca="1" si="96"/>
        <v>36.429675356732332</v>
      </c>
      <c r="D81" s="183">
        <f t="shared" ca="1" si="97"/>
        <v>1426.9591419976323</v>
      </c>
      <c r="E81" s="32">
        <f t="shared" ca="1" si="98"/>
        <v>6428285.5632956065</v>
      </c>
      <c r="F81" s="760">
        <f t="shared" ca="1" si="99"/>
        <v>1073.8039344016161</v>
      </c>
      <c r="G81" s="531">
        <f t="shared" ca="1" si="100"/>
        <v>1385824.5955926946</v>
      </c>
      <c r="H81" s="532">
        <f t="shared" ca="1" si="101"/>
        <v>6356424.8218668466</v>
      </c>
      <c r="I81" s="31">
        <f t="shared" ca="1" si="102"/>
        <v>84</v>
      </c>
      <c r="J81" s="302">
        <f t="shared" ca="1" si="91"/>
        <v>4.5820275350727533</v>
      </c>
      <c r="K81" s="46"/>
      <c r="L81" s="440"/>
      <c r="M81" s="441"/>
      <c r="N81" s="45">
        <f ca="1">IFERROR(IFNEG(INDIRECT(ADDRESS(MATCH(FirstLine+15,RawEntrie,0)+ROW(RawEntrie)+ROW()-20,2))-INDIRECT(ADDRESS(MATCH(1+15,RawEntrie,0)+ROW(RawEntrie)-17,2)),""),"")</f>
        <v>5.7172479999994721</v>
      </c>
      <c r="O81" s="54"/>
      <c r="P81" s="56"/>
      <c r="Q81" s="56"/>
      <c r="R81" s="322">
        <f t="shared" ca="1" si="104"/>
        <v>1387251.5547346922</v>
      </c>
      <c r="S81" s="37">
        <f t="shared" ca="1" si="107"/>
        <v>4.5265442159727289</v>
      </c>
      <c r="T81" s="38">
        <f t="shared" ca="1" si="103"/>
        <v>4.5265442159727289</v>
      </c>
      <c r="U81" s="38">
        <f t="shared" ca="1" si="92"/>
        <v>4.5265442159727289</v>
      </c>
      <c r="V81" s="38">
        <f t="shared" ca="1" si="92"/>
        <v>4.5265442159727289</v>
      </c>
      <c r="W81" s="37">
        <f t="shared" ca="1" si="108"/>
        <v>4.5867455680048073</v>
      </c>
      <c r="X81" s="38">
        <f t="shared" ca="1" si="93"/>
        <v>4.5867455680048073</v>
      </c>
      <c r="Y81" s="38">
        <f t="shared" ca="1" si="93"/>
        <v>4.5867455680048073</v>
      </c>
      <c r="Z81" s="47">
        <f t="shared" ca="1" si="93"/>
        <v>4.5867455680048073</v>
      </c>
      <c r="AA81" s="511" t="str">
        <f t="shared" si="109"/>
        <v/>
      </c>
      <c r="AB81" s="503" t="str">
        <f t="shared" si="110"/>
        <v xml:space="preserve"> </v>
      </c>
      <c r="AC81" s="70" t="str">
        <f t="shared" si="111"/>
        <v xml:space="preserve"> </v>
      </c>
      <c r="AD81" s="70" t="str">
        <f t="shared" si="112"/>
        <v xml:space="preserve"> </v>
      </c>
      <c r="AE81" s="70" t="str">
        <f t="shared" si="113"/>
        <v xml:space="preserve"> </v>
      </c>
      <c r="AF81" s="504" t="str">
        <f t="shared" si="114"/>
        <v xml:space="preserve"> </v>
      </c>
      <c r="AG81" s="507" t="str">
        <f t="shared" si="115"/>
        <v xml:space="preserve"> </v>
      </c>
      <c r="AH81" s="503" t="str">
        <f t="shared" si="116"/>
        <v xml:space="preserve"> </v>
      </c>
      <c r="AI81" s="504" t="str">
        <f t="shared" si="117"/>
        <v xml:space="preserve"> </v>
      </c>
      <c r="AJ81" s="45">
        <f t="shared" ca="1" si="17"/>
        <v>5.7172479999994721</v>
      </c>
      <c r="AK81" s="464" t="e">
        <f t="shared" si="118"/>
        <v>#N/A</v>
      </c>
      <c r="AL81" s="279"/>
    </row>
    <row r="82" spans="1:38" s="14" customFormat="1" ht="12" customHeight="1" x14ac:dyDescent="0.15">
      <c r="A82" s="32">
        <f t="shared" ca="1" si="94"/>
        <v>2181.9071117166677</v>
      </c>
      <c r="B82" s="32">
        <f t="shared" ca="1" si="95"/>
        <v>1401032.4385646721</v>
      </c>
      <c r="C82" s="32">
        <f t="shared" ca="1" si="96"/>
        <v>1081.9886863921602</v>
      </c>
      <c r="D82" s="183">
        <f t="shared" ca="1" si="97"/>
        <v>1678.8935068902726</v>
      </c>
      <c r="E82" s="32">
        <f t="shared" ca="1" si="98"/>
        <v>6340256.6528176516</v>
      </c>
      <c r="F82" s="760">
        <f t="shared" ca="1" si="99"/>
        <v>660.16591138692547</v>
      </c>
      <c r="G82" s="531">
        <f t="shared" ca="1" si="100"/>
        <v>1366474.1441260653</v>
      </c>
      <c r="H82" s="532">
        <f t="shared" ca="1" si="101"/>
        <v>6268809.5494119069</v>
      </c>
      <c r="I82" s="31">
        <f t="shared" ca="1" si="102"/>
        <v>85</v>
      </c>
      <c r="J82" s="302">
        <f t="shared" ca="1" si="91"/>
        <v>4.581950539873513</v>
      </c>
      <c r="K82" s="46"/>
      <c r="L82" s="440"/>
      <c r="M82" s="441"/>
      <c r="N82" s="45">
        <f ca="1">IFERROR(IFNEG(INDIRECT(ADDRESS(MATCH(FirstLine+15,RawEntrie,0)+ROW(RawEntrie)+ROW()-20,2))-INDIRECT(ADDRESS(MATCH(1+15,RawEntrie,0)+ROW(RawEntrie)-17,2)),""),"")</f>
        <v>5.7853439999994407</v>
      </c>
      <c r="O82" s="54"/>
      <c r="P82" s="56"/>
      <c r="Q82" s="56"/>
      <c r="R82" s="322">
        <f t="shared" ca="1" si="104"/>
        <v>1368153.0376329555</v>
      </c>
      <c r="S82" s="37">
        <f t="shared" ca="1" si="107"/>
        <v>4.5254174552254547</v>
      </c>
      <c r="T82" s="38">
        <f t="shared" ca="1" si="103"/>
        <v>4.5254174552254547</v>
      </c>
      <c r="U82" s="38">
        <f t="shared" ca="1" si="92"/>
        <v>4.5254174552254547</v>
      </c>
      <c r="V82" s="38">
        <f t="shared" ca="1" si="92"/>
        <v>4.5254174552254547</v>
      </c>
      <c r="W82" s="37">
        <f t="shared" ca="1" si="108"/>
        <v>4.5875800697430336</v>
      </c>
      <c r="X82" s="38">
        <f t="shared" ca="1" si="93"/>
        <v>4.5875800697430336</v>
      </c>
      <c r="Y82" s="38">
        <f t="shared" ca="1" si="93"/>
        <v>4.5875800697430336</v>
      </c>
      <c r="Z82" s="47">
        <f t="shared" ca="1" si="93"/>
        <v>4.5875800697430336</v>
      </c>
      <c r="AA82" s="511" t="str">
        <f t="shared" si="109"/>
        <v/>
      </c>
      <c r="AB82" s="503" t="str">
        <f t="shared" si="110"/>
        <v xml:space="preserve"> </v>
      </c>
      <c r="AC82" s="70" t="str">
        <f t="shared" si="111"/>
        <v xml:space="preserve"> </v>
      </c>
      <c r="AD82" s="70" t="str">
        <f t="shared" si="112"/>
        <v xml:space="preserve"> </v>
      </c>
      <c r="AE82" s="70" t="str">
        <f t="shared" si="113"/>
        <v xml:space="preserve"> </v>
      </c>
      <c r="AF82" s="504" t="str">
        <f t="shared" si="114"/>
        <v xml:space="preserve"> </v>
      </c>
      <c r="AG82" s="507" t="str">
        <f t="shared" si="115"/>
        <v xml:space="preserve"> </v>
      </c>
      <c r="AH82" s="503" t="str">
        <f t="shared" si="116"/>
        <v xml:space="preserve"> </v>
      </c>
      <c r="AI82" s="504" t="str">
        <f t="shared" si="117"/>
        <v xml:space="preserve"> </v>
      </c>
      <c r="AJ82" s="45">
        <f t="shared" ca="1" si="17"/>
        <v>5.7853439999994407</v>
      </c>
      <c r="AK82" s="464" t="e">
        <f t="shared" si="118"/>
        <v>#N/A</v>
      </c>
      <c r="AL82" s="279"/>
    </row>
    <row r="83" spans="1:38" s="14" customFormat="1" ht="12" customHeight="1" x14ac:dyDescent="0.15">
      <c r="A83" s="32">
        <f t="shared" ca="1" si="94"/>
        <v>2521.1259361622615</v>
      </c>
      <c r="B83" s="32">
        <f t="shared" ca="1" si="95"/>
        <v>1397195.5032266025</v>
      </c>
      <c r="C83" s="32">
        <f t="shared" ca="1" si="96"/>
        <v>1741.9302787835295</v>
      </c>
      <c r="D83" s="183">
        <f t="shared" ca="1" si="97"/>
        <v>2164.7849499045642</v>
      </c>
      <c r="E83" s="32">
        <f t="shared" ca="1" si="98"/>
        <v>6294428.6625561127</v>
      </c>
      <c r="F83" s="760">
        <f t="shared" ca="1" si="99"/>
        <v>-2609.8910790145733</v>
      </c>
      <c r="G83" s="531">
        <f t="shared" ca="1" si="100"/>
        <v>1362151.3173449812</v>
      </c>
      <c r="H83" s="532">
        <f t="shared" ca="1" si="101"/>
        <v>6226251.6161407689</v>
      </c>
      <c r="I83" s="31">
        <f t="shared" ca="1" si="102"/>
        <v>86</v>
      </c>
      <c r="J83" s="302">
        <f t="shared" ca="1" si="91"/>
        <v>4.5636429898230544</v>
      </c>
      <c r="K83" s="46">
        <f t="shared" ref="K83:K89" ca="1" si="119">IFERROR((_11Bback)/(_10Bback),"")</f>
        <v>4.5708957124356662</v>
      </c>
      <c r="L83" s="440"/>
      <c r="M83" s="441"/>
      <c r="N83" s="45">
        <f ca="1">IFERROR(IFNEG(INDIRECT(ADDRESS(MATCH(FirstLine+15,RawEntrie,0)+ROW(RawEntrie)+ROW()-20,2))-INDIRECT(ADDRESS(MATCH(1+15,RawEntrie,0)+ROW(RawEntrie)-17,2)),""),"")</f>
        <v>5.8534399999998641</v>
      </c>
      <c r="O83" s="54"/>
      <c r="P83" s="56"/>
      <c r="Q83" s="56"/>
      <c r="R83" s="322">
        <f t="shared" ca="1" si="104"/>
        <v>1364316.1022948858</v>
      </c>
      <c r="S83" s="37">
        <f t="shared" ca="1" si="107"/>
        <v>4.5050450334402905</v>
      </c>
      <c r="T83" s="38">
        <f t="shared" ca="1" si="103"/>
        <v>4.5050450334402905</v>
      </c>
      <c r="U83" s="38">
        <f t="shared" ref="U83:V100" ca="1" si="120">IF(T83&gt;T$104,"",IF(T83&lt;T$105,"",T83))</f>
        <v>4.5050450334402905</v>
      </c>
      <c r="V83" s="38">
        <f t="shared" ca="1" si="120"/>
        <v>4.5050450334402905</v>
      </c>
      <c r="W83" s="37">
        <f t="shared" ca="1" si="108"/>
        <v>4.5708957124356662</v>
      </c>
      <c r="X83" s="38">
        <f t="shared" ref="X83:Z100" ca="1" si="121">IF(W83&gt;W$104,"",IF(W83&lt;W$105,"",W83))</f>
        <v>4.5708957124356662</v>
      </c>
      <c r="Y83" s="38">
        <f t="shared" ca="1" si="121"/>
        <v>4.5708957124356662</v>
      </c>
      <c r="Z83" s="47">
        <f t="shared" ca="1" si="121"/>
        <v>4.5708957124356662</v>
      </c>
      <c r="AA83" s="511">
        <f t="shared" ca="1" si="109"/>
        <v>1</v>
      </c>
      <c r="AB83" s="503">
        <f t="shared" ca="1" si="110"/>
        <v>2521.1259361622615</v>
      </c>
      <c r="AC83" s="70">
        <f t="shared" ca="1" si="111"/>
        <v>1397195.5032266025</v>
      </c>
      <c r="AD83" s="70">
        <f t="shared" ca="1" si="112"/>
        <v>1741.9302787835295</v>
      </c>
      <c r="AE83" s="70">
        <f t="shared" ca="1" si="113"/>
        <v>2164.7849499045642</v>
      </c>
      <c r="AF83" s="504">
        <f t="shared" ca="1" si="114"/>
        <v>6294428.6625561127</v>
      </c>
      <c r="AG83" s="507">
        <f t="shared" ca="1" si="115"/>
        <v>-2609.8910790145733</v>
      </c>
      <c r="AH83" s="503">
        <f t="shared" ca="1" si="116"/>
        <v>1362151.3173449812</v>
      </c>
      <c r="AI83" s="504">
        <f t="shared" ca="1" si="117"/>
        <v>6226251.6161407689</v>
      </c>
      <c r="AJ83" s="45">
        <f t="shared" ca="1" si="17"/>
        <v>5.8534399999998641</v>
      </c>
      <c r="AK83" s="464">
        <f t="shared" ca="1" si="118"/>
        <v>4.5708957124356662</v>
      </c>
      <c r="AL83" s="279"/>
    </row>
    <row r="84" spans="1:38" s="14" customFormat="1" ht="12" customHeight="1" x14ac:dyDescent="0.15">
      <c r="A84" s="32">
        <f t="shared" ca="1" si="94"/>
        <v>2655.7069756764467</v>
      </c>
      <c r="B84" s="32">
        <f t="shared" ca="1" si="95"/>
        <v>1400617.9775977398</v>
      </c>
      <c r="C84" s="32">
        <f t="shared" ca="1" si="96"/>
        <v>566.7654721597828</v>
      </c>
      <c r="D84" s="183">
        <f t="shared" ca="1" si="97"/>
        <v>1700.3943163350227</v>
      </c>
      <c r="E84" s="32">
        <f t="shared" ca="1" si="98"/>
        <v>6309567.7393019861</v>
      </c>
      <c r="F84" s="760">
        <f t="shared" ca="1" si="99"/>
        <v>-2287.5974190907741</v>
      </c>
      <c r="G84" s="531">
        <f t="shared" ca="1" si="100"/>
        <v>1366038.1823496881</v>
      </c>
      <c r="H84" s="532">
        <f t="shared" ca="1" si="101"/>
        <v>6241068.3992267186</v>
      </c>
      <c r="I84" s="31">
        <f t="shared" ca="1" si="102"/>
        <v>87</v>
      </c>
      <c r="J84" s="302">
        <f t="shared" ca="1" si="91"/>
        <v>4.5630564975653778</v>
      </c>
      <c r="K84" s="46">
        <f t="shared" ca="1" si="119"/>
        <v>4.5687364232320453</v>
      </c>
      <c r="L84" s="440"/>
      <c r="M84" s="441"/>
      <c r="N84" s="45">
        <f ca="1">IFERROR(IFNEG(INDIRECT(ADDRESS(MATCH(FirstLine+15,RawEntrie,0)+ROW(RawEntrie)+ROW()-20,2))-INDIRECT(ADDRESS(MATCH(1+15,RawEntrie,0)+ROW(RawEntrie)-17,2)),""),"")</f>
        <v>5.9212799999995696</v>
      </c>
      <c r="O84" s="54"/>
      <c r="P84" s="56"/>
      <c r="Q84" s="56"/>
      <c r="R84" s="322">
        <f t="shared" ca="1" si="104"/>
        <v>1367738.5766660231</v>
      </c>
      <c r="S84" s="37">
        <f t="shared" ca="1" si="107"/>
        <v>4.5048456040267295</v>
      </c>
      <c r="T84" s="38">
        <f t="shared" ca="1" si="103"/>
        <v>4.5048456040267295</v>
      </c>
      <c r="U84" s="38">
        <f t="shared" ca="1" si="120"/>
        <v>4.5048456040267295</v>
      </c>
      <c r="V84" s="38">
        <f t="shared" ca="1" si="120"/>
        <v>4.5048456040267295</v>
      </c>
      <c r="W84" s="37">
        <f t="shared" ca="1" si="108"/>
        <v>4.5687364232320453</v>
      </c>
      <c r="X84" s="38">
        <f t="shared" ca="1" si="121"/>
        <v>4.5687364232320453</v>
      </c>
      <c r="Y84" s="38">
        <f t="shared" ca="1" si="121"/>
        <v>4.5687364232320453</v>
      </c>
      <c r="Z84" s="47">
        <f t="shared" ca="1" si="121"/>
        <v>4.5687364232320453</v>
      </c>
      <c r="AA84" s="511">
        <f t="shared" ca="1" si="109"/>
        <v>1</v>
      </c>
      <c r="AB84" s="503">
        <f t="shared" ca="1" si="110"/>
        <v>2655.7069756764467</v>
      </c>
      <c r="AC84" s="70">
        <f t="shared" ca="1" si="111"/>
        <v>1400617.9775977398</v>
      </c>
      <c r="AD84" s="70">
        <f t="shared" ca="1" si="112"/>
        <v>566.7654721597828</v>
      </c>
      <c r="AE84" s="70">
        <f t="shared" ca="1" si="113"/>
        <v>1700.3943163350227</v>
      </c>
      <c r="AF84" s="504">
        <f t="shared" ca="1" si="114"/>
        <v>6309567.7393019861</v>
      </c>
      <c r="AG84" s="507">
        <f t="shared" ca="1" si="115"/>
        <v>-2287.5974190907741</v>
      </c>
      <c r="AH84" s="503">
        <f t="shared" ca="1" si="116"/>
        <v>1366038.1823496881</v>
      </c>
      <c r="AI84" s="504">
        <f t="shared" ca="1" si="117"/>
        <v>6241068.3992267186</v>
      </c>
      <c r="AJ84" s="45">
        <f t="shared" ca="1" si="17"/>
        <v>5.9212799999995696</v>
      </c>
      <c r="AK84" s="464">
        <f t="shared" ca="1" si="118"/>
        <v>4.5687364232320453</v>
      </c>
      <c r="AL84" s="279"/>
    </row>
    <row r="85" spans="1:38" s="14" customFormat="1" ht="12" customHeight="1" x14ac:dyDescent="0.15">
      <c r="A85" s="32">
        <f t="shared" ca="1" si="94"/>
        <v>-442.44079040893121</v>
      </c>
      <c r="B85" s="32">
        <f t="shared" ca="1" si="95"/>
        <v>1405653.7048176166</v>
      </c>
      <c r="C85" s="32">
        <f t="shared" ca="1" si="96"/>
        <v>3542.530964531561</v>
      </c>
      <c r="D85" s="183">
        <f t="shared" ca="1" si="97"/>
        <v>1379.9625455408225</v>
      </c>
      <c r="E85" s="32">
        <f t="shared" ca="1" si="98"/>
        <v>6329281.394974512</v>
      </c>
      <c r="F85" s="760">
        <f t="shared" ca="1" si="99"/>
        <v>559.12210674155813</v>
      </c>
      <c r="G85" s="531">
        <f t="shared" ca="1" si="100"/>
        <v>1371394.3413403591</v>
      </c>
      <c r="H85" s="532">
        <f t="shared" ca="1" si="101"/>
        <v>6257935.3353734128</v>
      </c>
      <c r="I85" s="31">
        <f t="shared" ca="1" si="102"/>
        <v>88</v>
      </c>
      <c r="J85" s="302">
        <f t="shared" ca="1" si="91"/>
        <v>4.5586046574874919</v>
      </c>
      <c r="K85" s="46">
        <f t="shared" ca="1" si="119"/>
        <v>4.563191743417212</v>
      </c>
      <c r="L85" s="440"/>
      <c r="M85" s="441"/>
      <c r="N85" s="45">
        <f ca="1">IFERROR(IFNEG(INDIRECT(ADDRESS(MATCH(FirstLine+15,RawEntrie,0)+ROW(RawEntrie)+ROW()-20,2))-INDIRECT(ADDRESS(MATCH(1+15,RawEntrie,0)+ROW(RawEntrie)-17,2)),""),"")</f>
        <v>5.9893759999995382</v>
      </c>
      <c r="O85" s="54"/>
      <c r="P85" s="56"/>
      <c r="Q85" s="56"/>
      <c r="R85" s="322">
        <f t="shared" ca="1" si="104"/>
        <v>1372774.3038858999</v>
      </c>
      <c r="S85" s="37">
        <f t="shared" ca="1" si="107"/>
        <v>4.5027316281969574</v>
      </c>
      <c r="T85" s="38">
        <f t="shared" ca="1" si="103"/>
        <v>4.5027316281969574</v>
      </c>
      <c r="U85" s="38">
        <f t="shared" ca="1" si="120"/>
        <v>4.5027316281969574</v>
      </c>
      <c r="V85" s="38" t="str">
        <f t="shared" ca="1" si="120"/>
        <v/>
      </c>
      <c r="W85" s="37">
        <f t="shared" ca="1" si="108"/>
        <v>4.563191743417212</v>
      </c>
      <c r="X85" s="38">
        <f t="shared" ca="1" si="121"/>
        <v>4.563191743417212</v>
      </c>
      <c r="Y85" s="38">
        <f t="shared" ca="1" si="121"/>
        <v>4.563191743417212</v>
      </c>
      <c r="Z85" s="47">
        <f t="shared" ca="1" si="121"/>
        <v>4.563191743417212</v>
      </c>
      <c r="AA85" s="511">
        <f t="shared" ca="1" si="109"/>
        <v>1</v>
      </c>
      <c r="AB85" s="503">
        <f t="shared" ca="1" si="110"/>
        <v>-442.44079040893121</v>
      </c>
      <c r="AC85" s="70">
        <f t="shared" ca="1" si="111"/>
        <v>1405653.7048176166</v>
      </c>
      <c r="AD85" s="70">
        <f t="shared" ca="1" si="112"/>
        <v>3542.530964531561</v>
      </c>
      <c r="AE85" s="70">
        <f t="shared" ca="1" si="113"/>
        <v>1379.9625455408225</v>
      </c>
      <c r="AF85" s="504">
        <f t="shared" ca="1" si="114"/>
        <v>6329281.394974512</v>
      </c>
      <c r="AG85" s="507">
        <f t="shared" ca="1" si="115"/>
        <v>559.12210674155813</v>
      </c>
      <c r="AH85" s="503">
        <f t="shared" ca="1" si="116"/>
        <v>1371394.3413403591</v>
      </c>
      <c r="AI85" s="504">
        <f t="shared" ca="1" si="117"/>
        <v>6257935.3353734128</v>
      </c>
      <c r="AJ85" s="45">
        <f t="shared" ca="1" si="17"/>
        <v>5.9893759999995382</v>
      </c>
      <c r="AK85" s="464">
        <f t="shared" ca="1" si="118"/>
        <v>4.563191743417212</v>
      </c>
      <c r="AL85" s="279"/>
    </row>
    <row r="86" spans="1:38" s="14" customFormat="1" ht="12" customHeight="1" x14ac:dyDescent="0.15">
      <c r="A86" s="32">
        <f t="shared" ca="1" si="94"/>
        <v>-1562.2955565425182</v>
      </c>
      <c r="B86" s="32">
        <f t="shared" ca="1" si="95"/>
        <v>1402967.0906901562</v>
      </c>
      <c r="C86" s="32">
        <f t="shared" ca="1" si="96"/>
        <v>594.21742722336421</v>
      </c>
      <c r="D86" s="183">
        <f t="shared" ca="1" si="97"/>
        <v>-576.0811747814638</v>
      </c>
      <c r="E86" s="32">
        <f t="shared" ca="1" si="98"/>
        <v>6329803.9529851768</v>
      </c>
      <c r="F86" s="760">
        <f t="shared" ca="1" si="99"/>
        <v>1845.2883722802808</v>
      </c>
      <c r="G86" s="531">
        <f t="shared" ca="1" si="100"/>
        <v>1370663.7709332211</v>
      </c>
      <c r="H86" s="532">
        <f t="shared" ca="1" si="101"/>
        <v>6257171.7271185387</v>
      </c>
      <c r="I86" s="31">
        <f t="shared" ca="1" si="102"/>
        <v>89</v>
      </c>
      <c r="J86" s="302">
        <f t="shared" ca="1" si="91"/>
        <v>4.5669863132787816</v>
      </c>
      <c r="K86" s="46">
        <f t="shared" ca="1" si="119"/>
        <v>4.565066838279618</v>
      </c>
      <c r="L86" s="440"/>
      <c r="M86" s="441"/>
      <c r="N86" s="45">
        <f ca="1">IFERROR(IFNEG(INDIRECT(ADDRESS(MATCH(FirstLine+15,RawEntrie,0)+ROW(RawEntrie)+ROW()-20,2))-INDIRECT(ADDRESS(MATCH(1+15,RawEntrie,0)+ROW(RawEntrie)-17,2)),""),"")</f>
        <v>6.0574719999995068</v>
      </c>
      <c r="O86" s="54"/>
      <c r="P86" s="56"/>
      <c r="Q86" s="56"/>
      <c r="R86" s="322">
        <f t="shared" ca="1" si="104"/>
        <v>1370087.6897584395</v>
      </c>
      <c r="S86" s="37">
        <f t="shared" ca="1" si="107"/>
        <v>4.5117266078360974</v>
      </c>
      <c r="T86" s="38">
        <f t="shared" ca="1" si="103"/>
        <v>4.5117266078360974</v>
      </c>
      <c r="U86" s="38">
        <f t="shared" ca="1" si="120"/>
        <v>4.5117266078360974</v>
      </c>
      <c r="V86" s="38">
        <f t="shared" ca="1" si="120"/>
        <v>4.5117266078360974</v>
      </c>
      <c r="W86" s="37">
        <f t="shared" ca="1" si="108"/>
        <v>4.565066838279618</v>
      </c>
      <c r="X86" s="38">
        <f t="shared" ca="1" si="121"/>
        <v>4.565066838279618</v>
      </c>
      <c r="Y86" s="38">
        <f t="shared" ca="1" si="121"/>
        <v>4.565066838279618</v>
      </c>
      <c r="Z86" s="47">
        <f t="shared" ca="1" si="121"/>
        <v>4.565066838279618</v>
      </c>
      <c r="AA86" s="511">
        <f t="shared" ca="1" si="109"/>
        <v>1</v>
      </c>
      <c r="AB86" s="503">
        <f t="shared" ca="1" si="110"/>
        <v>-1562.2955565425182</v>
      </c>
      <c r="AC86" s="70">
        <f t="shared" ca="1" si="111"/>
        <v>1402967.0906901562</v>
      </c>
      <c r="AD86" s="70">
        <f t="shared" ca="1" si="112"/>
        <v>594.21742722336421</v>
      </c>
      <c r="AE86" s="70">
        <f t="shared" ca="1" si="113"/>
        <v>-576.0811747814638</v>
      </c>
      <c r="AF86" s="504">
        <f t="shared" ca="1" si="114"/>
        <v>6329803.9529851768</v>
      </c>
      <c r="AG86" s="507">
        <f t="shared" ca="1" si="115"/>
        <v>1845.2883722802808</v>
      </c>
      <c r="AH86" s="503">
        <f t="shared" ca="1" si="116"/>
        <v>1370663.7709332211</v>
      </c>
      <c r="AI86" s="504">
        <f t="shared" ca="1" si="117"/>
        <v>6257171.7271185387</v>
      </c>
      <c r="AJ86" s="45">
        <f t="shared" ca="1" si="17"/>
        <v>6.0574719999995068</v>
      </c>
      <c r="AK86" s="464">
        <f t="shared" ca="1" si="118"/>
        <v>4.565066838279618</v>
      </c>
      <c r="AL86" s="279"/>
    </row>
    <row r="87" spans="1:38" s="14" customFormat="1" ht="12" customHeight="1" x14ac:dyDescent="0.15">
      <c r="A87" s="32">
        <f t="shared" ca="1" si="94"/>
        <v>-834.61034164169541</v>
      </c>
      <c r="B87" s="32">
        <f t="shared" ca="1" si="95"/>
        <v>1392938.0130833543</v>
      </c>
      <c r="C87" s="32">
        <f t="shared" ca="1" si="96"/>
        <v>529.1203301167443</v>
      </c>
      <c r="D87" s="183">
        <f t="shared" ca="1" si="97"/>
        <v>-210.9503815758826</v>
      </c>
      <c r="E87" s="32">
        <f t="shared" ca="1" si="98"/>
        <v>6278438.6151956357</v>
      </c>
      <c r="F87" s="760">
        <f t="shared" ca="1" si="99"/>
        <v>3363.5365294712292</v>
      </c>
      <c r="G87" s="531">
        <f t="shared" ca="1" si="100"/>
        <v>1360269.5625332135</v>
      </c>
      <c r="H87" s="532">
        <f t="shared" ca="1" si="101"/>
        <v>6204288.1411718065</v>
      </c>
      <c r="I87" s="31">
        <f t="shared" ca="1" si="102"/>
        <v>90</v>
      </c>
      <c r="J87" s="302">
        <f t="shared" ca="1" si="91"/>
        <v>4.5617799745824987</v>
      </c>
      <c r="K87" s="46">
        <f t="shared" ca="1" si="119"/>
        <v>4.5610725344891465</v>
      </c>
      <c r="L87" s="440"/>
      <c r="M87" s="441"/>
      <c r="N87" s="45">
        <f ca="1">IFERROR(IFNEG(INDIRECT(ADDRESS(MATCH(FirstLine+15,RawEntrie,0)+ROW(RawEntrie)+ROW()-20,2))-INDIRECT(ADDRESS(MATCH(1+15,RawEntrie,0)+ROW(RawEntrie)-17,2)),""),"")</f>
        <v>6.1250559999998586</v>
      </c>
      <c r="O87" s="54"/>
      <c r="P87" s="56"/>
      <c r="Q87" s="56"/>
      <c r="R87" s="322">
        <f t="shared" ca="1" si="104"/>
        <v>1360058.6121516377</v>
      </c>
      <c r="S87" s="37">
        <f t="shared" ca="1" si="107"/>
        <v>4.50733525557101</v>
      </c>
      <c r="T87" s="38">
        <f t="shared" ca="1" si="103"/>
        <v>4.50733525557101</v>
      </c>
      <c r="U87" s="38">
        <f t="shared" ca="1" si="120"/>
        <v>4.50733525557101</v>
      </c>
      <c r="V87" s="38">
        <f t="shared" ca="1" si="120"/>
        <v>4.50733525557101</v>
      </c>
      <c r="W87" s="37">
        <f t="shared" ca="1" si="108"/>
        <v>4.5610725344891465</v>
      </c>
      <c r="X87" s="38">
        <f t="shared" ca="1" si="121"/>
        <v>4.5610725344891465</v>
      </c>
      <c r="Y87" s="38">
        <f t="shared" ca="1" si="121"/>
        <v>4.5610725344891465</v>
      </c>
      <c r="Z87" s="47">
        <f t="shared" ca="1" si="121"/>
        <v>4.5610725344891465</v>
      </c>
      <c r="AA87" s="511">
        <f t="shared" ca="1" si="109"/>
        <v>1</v>
      </c>
      <c r="AB87" s="503">
        <f t="shared" ca="1" si="110"/>
        <v>-834.61034164169541</v>
      </c>
      <c r="AC87" s="70">
        <f t="shared" ca="1" si="111"/>
        <v>1392938.0130833543</v>
      </c>
      <c r="AD87" s="70">
        <f t="shared" ca="1" si="112"/>
        <v>529.1203301167443</v>
      </c>
      <c r="AE87" s="70">
        <f t="shared" ca="1" si="113"/>
        <v>-210.9503815758826</v>
      </c>
      <c r="AF87" s="504">
        <f t="shared" ca="1" si="114"/>
        <v>6278438.6151956357</v>
      </c>
      <c r="AG87" s="507">
        <f t="shared" ca="1" si="115"/>
        <v>3363.5365294712292</v>
      </c>
      <c r="AH87" s="503">
        <f t="shared" ca="1" si="116"/>
        <v>1360269.5625332135</v>
      </c>
      <c r="AI87" s="504">
        <f t="shared" ca="1" si="117"/>
        <v>6204288.1411718065</v>
      </c>
      <c r="AJ87" s="45">
        <f t="shared" ca="1" si="17"/>
        <v>6.1250559999998586</v>
      </c>
      <c r="AK87" s="464">
        <f t="shared" ca="1" si="118"/>
        <v>4.5610725344891465</v>
      </c>
      <c r="AL87" s="279"/>
    </row>
    <row r="88" spans="1:38" s="14" customFormat="1" ht="12" customHeight="1" x14ac:dyDescent="0.15">
      <c r="A88" s="32">
        <f t="shared" ca="1" si="94"/>
        <v>3345.0927274981368</v>
      </c>
      <c r="B88" s="32">
        <f t="shared" ca="1" si="95"/>
        <v>1377914.8849533848</v>
      </c>
      <c r="C88" s="32">
        <f t="shared" ca="1" si="96"/>
        <v>275.28022258424244</v>
      </c>
      <c r="D88" s="183">
        <f t="shared" ca="1" si="97"/>
        <v>1941.2091133271015</v>
      </c>
      <c r="E88" s="32">
        <f t="shared" ca="1" si="98"/>
        <v>6215436.8522829087</v>
      </c>
      <c r="F88" s="760">
        <f t="shared" ca="1" si="99"/>
        <v>1562.58363499801</v>
      </c>
      <c r="G88" s="531">
        <f t="shared" ca="1" si="100"/>
        <v>1343094.274908341</v>
      </c>
      <c r="H88" s="532">
        <f t="shared" ca="1" si="101"/>
        <v>6143087.331153553</v>
      </c>
      <c r="I88" s="31">
        <f t="shared" ca="1" si="102"/>
        <v>91</v>
      </c>
      <c r="J88" s="302">
        <f t="shared" ca="1" si="91"/>
        <v>4.5672306821123163</v>
      </c>
      <c r="K88" s="46">
        <f t="shared" ca="1" si="119"/>
        <v>4.5738318194921836</v>
      </c>
      <c r="L88" s="440"/>
      <c r="M88" s="441"/>
      <c r="N88" s="45">
        <f ca="1">IFERROR(IFNEG(INDIRECT(ADDRESS(MATCH(FirstLine+15,RawEntrie,0)+ROW(RawEntrie)+ROW()-20,2))-INDIRECT(ADDRESS(MATCH(1+15,RawEntrie,0)+ROW(RawEntrie)-17,2)),""),"")</f>
        <v>6.1931519999998272</v>
      </c>
      <c r="O88" s="54"/>
      <c r="P88" s="56"/>
      <c r="Q88" s="56"/>
      <c r="R88" s="322">
        <f t="shared" ca="1" si="104"/>
        <v>1345035.4840216681</v>
      </c>
      <c r="S88" s="37">
        <f t="shared" ca="1" si="107"/>
        <v>4.5107552869589469</v>
      </c>
      <c r="T88" s="38">
        <f t="shared" ca="1" si="103"/>
        <v>4.5107552869589469</v>
      </c>
      <c r="U88" s="38">
        <f t="shared" ca="1" si="120"/>
        <v>4.5107552869589469</v>
      </c>
      <c r="V88" s="38">
        <f t="shared" ca="1" si="120"/>
        <v>4.5107552869589469</v>
      </c>
      <c r="W88" s="37">
        <f t="shared" ca="1" si="108"/>
        <v>4.5738318194921836</v>
      </c>
      <c r="X88" s="38">
        <f t="shared" ca="1" si="121"/>
        <v>4.5738318194921836</v>
      </c>
      <c r="Y88" s="38">
        <f t="shared" ca="1" si="121"/>
        <v>4.5738318194921836</v>
      </c>
      <c r="Z88" s="47">
        <f t="shared" ca="1" si="121"/>
        <v>4.5738318194921836</v>
      </c>
      <c r="AA88" s="511">
        <f t="shared" ca="1" si="109"/>
        <v>1</v>
      </c>
      <c r="AB88" s="503">
        <f t="shared" ca="1" si="110"/>
        <v>3345.0927274981368</v>
      </c>
      <c r="AC88" s="70">
        <f t="shared" ca="1" si="111"/>
        <v>1377914.8849533848</v>
      </c>
      <c r="AD88" s="70">
        <f t="shared" ca="1" si="112"/>
        <v>275.28022258424244</v>
      </c>
      <c r="AE88" s="70">
        <f t="shared" ca="1" si="113"/>
        <v>1941.2091133271015</v>
      </c>
      <c r="AF88" s="504">
        <f t="shared" ca="1" si="114"/>
        <v>6215436.8522829087</v>
      </c>
      <c r="AG88" s="507">
        <f t="shared" ca="1" si="115"/>
        <v>1562.58363499801</v>
      </c>
      <c r="AH88" s="503">
        <f t="shared" ca="1" si="116"/>
        <v>1343094.274908341</v>
      </c>
      <c r="AI88" s="504">
        <f t="shared" ca="1" si="117"/>
        <v>6143087.331153553</v>
      </c>
      <c r="AJ88" s="45">
        <f t="shared" ca="1" si="17"/>
        <v>6.1931519999998272</v>
      </c>
      <c r="AK88" s="464">
        <f t="shared" ca="1" si="118"/>
        <v>4.5738318194921836</v>
      </c>
      <c r="AL88" s="279"/>
    </row>
    <row r="89" spans="1:38" s="14" customFormat="1" ht="12" customHeight="1" x14ac:dyDescent="0.15">
      <c r="A89" s="32">
        <f t="shared" ca="1" si="94"/>
        <v>3032.1068674363305</v>
      </c>
      <c r="B89" s="32">
        <f t="shared" ca="1" si="95"/>
        <v>1371325.6035400897</v>
      </c>
      <c r="C89" s="32">
        <f t="shared" ca="1" si="96"/>
        <v>-41.818637799020507</v>
      </c>
      <c r="D89" s="183">
        <f t="shared" ca="1" si="97"/>
        <v>1626.3423000321156</v>
      </c>
      <c r="E89" s="32">
        <f t="shared" ca="1" si="98"/>
        <v>6188786.1028864542</v>
      </c>
      <c r="F89" s="760">
        <f t="shared" ca="1" si="99"/>
        <v>3055.3207559809398</v>
      </c>
      <c r="G89" s="531">
        <f t="shared" ca="1" si="100"/>
        <v>1336819.860308341</v>
      </c>
      <c r="H89" s="532">
        <f t="shared" ca="1" si="101"/>
        <v>6114943.8446361152</v>
      </c>
      <c r="I89" s="31">
        <f t="shared" ca="1" si="102"/>
        <v>92</v>
      </c>
      <c r="J89" s="302">
        <f t="shared" ca="1" si="91"/>
        <v>4.5686885529797694</v>
      </c>
      <c r="K89" s="46">
        <f t="shared" ca="1" si="119"/>
        <v>4.5742467075748614</v>
      </c>
      <c r="L89" s="440"/>
      <c r="M89" s="441"/>
      <c r="N89" s="45">
        <f ca="1">IFERROR(IFNEG(INDIRECT(ADDRESS(MATCH(FirstLine+15,RawEntrie,0)+ROW(RawEntrie)+ROW()-20,2))-INDIRECT(ADDRESS(MATCH(1+15,RawEntrie,0)+ROW(RawEntrie)-17,2)),""),"")</f>
        <v>6.2612479999993411</v>
      </c>
      <c r="O89" s="54"/>
      <c r="P89" s="56"/>
      <c r="Q89" s="56"/>
      <c r="R89" s="322">
        <f t="shared" ca="1" si="104"/>
        <v>1338446.202608373</v>
      </c>
      <c r="S89" s="37">
        <f t="shared" ca="1" si="107"/>
        <v>4.5129953724411225</v>
      </c>
      <c r="T89" s="38">
        <f t="shared" ca="1" si="103"/>
        <v>4.5129953724411225</v>
      </c>
      <c r="U89" s="38">
        <f t="shared" ca="1" si="120"/>
        <v>4.5129953724411225</v>
      </c>
      <c r="V89" s="38">
        <f t="shared" ca="1" si="120"/>
        <v>4.5129953724411225</v>
      </c>
      <c r="W89" s="37">
        <f t="shared" ca="1" si="108"/>
        <v>4.5742467075748614</v>
      </c>
      <c r="X89" s="38">
        <f t="shared" ca="1" si="121"/>
        <v>4.5742467075748614</v>
      </c>
      <c r="Y89" s="38">
        <f t="shared" ca="1" si="121"/>
        <v>4.5742467075748614</v>
      </c>
      <c r="Z89" s="47">
        <f t="shared" ca="1" si="121"/>
        <v>4.5742467075748614</v>
      </c>
      <c r="AA89" s="511">
        <f t="shared" ca="1" si="109"/>
        <v>1</v>
      </c>
      <c r="AB89" s="503">
        <f t="shared" ca="1" si="110"/>
        <v>3032.1068674363305</v>
      </c>
      <c r="AC89" s="70">
        <f t="shared" ca="1" si="111"/>
        <v>1371325.6035400897</v>
      </c>
      <c r="AD89" s="70">
        <f t="shared" ca="1" si="112"/>
        <v>-41.818637799020507</v>
      </c>
      <c r="AE89" s="70">
        <f t="shared" ca="1" si="113"/>
        <v>1626.3423000321156</v>
      </c>
      <c r="AF89" s="504">
        <f t="shared" ca="1" si="114"/>
        <v>6188786.1028864542</v>
      </c>
      <c r="AG89" s="507">
        <f t="shared" ca="1" si="115"/>
        <v>3055.3207559809398</v>
      </c>
      <c r="AH89" s="503">
        <f t="shared" ca="1" si="116"/>
        <v>1336819.860308341</v>
      </c>
      <c r="AI89" s="504">
        <f t="shared" ca="1" si="117"/>
        <v>6114943.8446361152</v>
      </c>
      <c r="AJ89" s="45">
        <f t="shared" ca="1" si="17"/>
        <v>6.2612479999993411</v>
      </c>
      <c r="AK89" s="464">
        <f t="shared" ca="1" si="118"/>
        <v>4.5742467075748614</v>
      </c>
      <c r="AL89" s="279"/>
    </row>
    <row r="90" spans="1:38" s="14" customFormat="1" ht="12" customHeight="1" x14ac:dyDescent="0.15">
      <c r="A90" s="32">
        <f t="shared" ca="1" si="94"/>
        <v>1025.7507752261663</v>
      </c>
      <c r="B90" s="32">
        <f t="shared" ca="1" si="95"/>
        <v>1361731.1299808237</v>
      </c>
      <c r="C90" s="32">
        <f t="shared" ca="1" si="96"/>
        <v>1376.1905545353002</v>
      </c>
      <c r="D90" s="183">
        <f t="shared" ca="1" si="97"/>
        <v>1186.0135479975627</v>
      </c>
      <c r="E90" s="32">
        <f t="shared" ca="1" si="98"/>
        <v>6167669.2331819199</v>
      </c>
      <c r="F90" s="760">
        <f t="shared" ca="1" si="99"/>
        <v>-1745.3584449939972</v>
      </c>
      <c r="G90" s="531">
        <f t="shared" ca="1" si="100"/>
        <v>1327665.7155011096</v>
      </c>
      <c r="H90" s="532">
        <f t="shared" ca="1" si="101"/>
        <v>6098627.6541325562</v>
      </c>
      <c r="I90" s="31">
        <f t="shared" ca="1" si="102"/>
        <v>93</v>
      </c>
      <c r="J90" s="302"/>
      <c r="K90" s="46"/>
      <c r="L90" s="440"/>
      <c r="M90" s="441"/>
      <c r="N90" s="45">
        <f ca="1">IFERROR(IFNEG(INDIRECT(ADDRESS(MATCH(FirstLine+15,RawEntrie,0)+ROW(RawEntrie)+ROW()-20,2))-INDIRECT(ADDRESS(MATCH(1+15,RawEntrie,0)+ROW(RawEntrie)-17,2)),""),"")</f>
        <v>6.3295999999995729</v>
      </c>
      <c r="O90" s="54"/>
      <c r="P90" s="56"/>
      <c r="Q90" s="56"/>
      <c r="R90" s="322">
        <f t="shared" ca="1" si="104"/>
        <v>1328851.7290491071</v>
      </c>
      <c r="S90" s="37">
        <f t="shared" ca="1" si="107"/>
        <v>4.5292856257672351</v>
      </c>
      <c r="T90" s="38">
        <f t="shared" ca="1" si="103"/>
        <v>4.5292856257672351</v>
      </c>
      <c r="U90" s="38">
        <f t="shared" ca="1" si="120"/>
        <v>4.5292856257672351</v>
      </c>
      <c r="V90" s="38">
        <f t="shared" ca="1" si="120"/>
        <v>4.5292856257672351</v>
      </c>
      <c r="W90" s="37">
        <f t="shared" ca="1" si="108"/>
        <v>4.5934963770836781</v>
      </c>
      <c r="X90" s="38">
        <f t="shared" ca="1" si="121"/>
        <v>4.5934963770836781</v>
      </c>
      <c r="Y90" s="38" t="str">
        <f t="shared" ca="1" si="121"/>
        <v/>
      </c>
      <c r="Z90" s="47" t="str">
        <f t="shared" ca="1" si="121"/>
        <v/>
      </c>
      <c r="AA90" s="511" t="str">
        <f t="shared" si="109"/>
        <v/>
      </c>
      <c r="AB90" s="503" t="str">
        <f t="shared" si="110"/>
        <v xml:space="preserve"> </v>
      </c>
      <c r="AC90" s="70" t="str">
        <f t="shared" si="111"/>
        <v xml:space="preserve"> </v>
      </c>
      <c r="AD90" s="70" t="str">
        <f t="shared" si="112"/>
        <v xml:space="preserve"> </v>
      </c>
      <c r="AE90" s="70" t="str">
        <f t="shared" si="113"/>
        <v xml:space="preserve"> </v>
      </c>
      <c r="AF90" s="504" t="str">
        <f t="shared" si="114"/>
        <v xml:space="preserve"> </v>
      </c>
      <c r="AG90" s="507" t="str">
        <f t="shared" si="115"/>
        <v xml:space="preserve"> </v>
      </c>
      <c r="AH90" s="503" t="str">
        <f t="shared" si="116"/>
        <v xml:space="preserve"> </v>
      </c>
      <c r="AI90" s="504" t="str">
        <f t="shared" si="117"/>
        <v xml:space="preserve"> </v>
      </c>
      <c r="AJ90" s="45">
        <f t="shared" ca="1" si="17"/>
        <v>6.3295999999995729</v>
      </c>
      <c r="AK90" s="464" t="e">
        <f t="shared" si="118"/>
        <v>#N/A</v>
      </c>
      <c r="AL90" s="279"/>
    </row>
    <row r="91" spans="1:38" s="14" customFormat="1" ht="12" customHeight="1" x14ac:dyDescent="0.15">
      <c r="A91" s="32">
        <f t="shared" ca="1" si="94"/>
        <v>637.18279640200126</v>
      </c>
      <c r="B91" s="32">
        <f t="shared" ca="1" si="95"/>
        <v>1356756.3461206062</v>
      </c>
      <c r="C91" s="32">
        <f t="shared" ca="1" si="96"/>
        <v>626.02828732938724</v>
      </c>
      <c r="D91" s="183">
        <f t="shared" ca="1" si="97"/>
        <v>632.08162736118902</v>
      </c>
      <c r="E91" s="32">
        <f t="shared" ca="1" si="98"/>
        <v>6133991.6293249838</v>
      </c>
      <c r="F91" s="760">
        <f t="shared" ca="1" si="99"/>
        <v>-2977.6967956603394</v>
      </c>
      <c r="G91" s="531">
        <f t="shared" ca="1" si="100"/>
        <v>1323244.8635615283</v>
      </c>
      <c r="H91" s="532">
        <f t="shared" ca="1" si="101"/>
        <v>6066182.3886262858</v>
      </c>
      <c r="I91" s="31">
        <f t="shared" ca="1" si="102"/>
        <v>94</v>
      </c>
      <c r="J91" s="302">
        <f t="shared" ref="J91:J99" ca="1" si="122">IFERROR((_11Bback)/(_10Bcorr),"")</f>
        <v>4.5821346241215561</v>
      </c>
      <c r="K91" s="46">
        <f t="shared" ref="K91:K99" ca="1" si="123">IFERROR((_11Bback)/(_10Bback),"")</f>
        <v>4.5843233974844901</v>
      </c>
      <c r="L91" s="440"/>
      <c r="M91" s="441"/>
      <c r="N91" s="45">
        <f ca="1">IFERROR(IFNEG(INDIRECT(ADDRESS(MATCH(FirstLine+15,RawEntrie,0)+ROW(RawEntrie)+ROW()-20,2))-INDIRECT(ADDRESS(MATCH(1+15,RawEntrie,0)+ROW(RawEntrie)-17,2)),""),"")</f>
        <v>6.3974399999997331</v>
      </c>
      <c r="O91" s="54"/>
      <c r="P91" s="56"/>
      <c r="Q91" s="56"/>
      <c r="R91" s="322">
        <f t="shared" ca="1" si="104"/>
        <v>1323876.9451888895</v>
      </c>
      <c r="S91" s="37">
        <f t="shared" ca="1" si="107"/>
        <v>4.5210708959379469</v>
      </c>
      <c r="T91" s="38">
        <f t="shared" ca="1" si="103"/>
        <v>4.5210708959379469</v>
      </c>
      <c r="U91" s="38">
        <f t="shared" ca="1" si="120"/>
        <v>4.5210708959379469</v>
      </c>
      <c r="V91" s="38">
        <f t="shared" ca="1" si="120"/>
        <v>4.5210708959379469</v>
      </c>
      <c r="W91" s="37">
        <f t="shared" ca="1" si="108"/>
        <v>4.5843233974844901</v>
      </c>
      <c r="X91" s="38">
        <f t="shared" ca="1" si="121"/>
        <v>4.5843233974844901</v>
      </c>
      <c r="Y91" s="38">
        <f t="shared" ca="1" si="121"/>
        <v>4.5843233974844901</v>
      </c>
      <c r="Z91" s="47">
        <f t="shared" ca="1" si="121"/>
        <v>4.5843233974844901</v>
      </c>
      <c r="AA91" s="511">
        <f t="shared" ca="1" si="109"/>
        <v>1</v>
      </c>
      <c r="AB91" s="503">
        <f t="shared" ca="1" si="110"/>
        <v>637.18279640200126</v>
      </c>
      <c r="AC91" s="70">
        <f t="shared" ca="1" si="111"/>
        <v>1356756.3461206062</v>
      </c>
      <c r="AD91" s="70">
        <f t="shared" ca="1" si="112"/>
        <v>626.02828732938724</v>
      </c>
      <c r="AE91" s="70">
        <f t="shared" ca="1" si="113"/>
        <v>632.08162736118902</v>
      </c>
      <c r="AF91" s="504">
        <f t="shared" ca="1" si="114"/>
        <v>6133991.6293249838</v>
      </c>
      <c r="AG91" s="507">
        <f t="shared" ca="1" si="115"/>
        <v>-2977.6967956603394</v>
      </c>
      <c r="AH91" s="503">
        <f t="shared" ca="1" si="116"/>
        <v>1323244.8635615283</v>
      </c>
      <c r="AI91" s="504">
        <f t="shared" ca="1" si="117"/>
        <v>6066182.3886262858</v>
      </c>
      <c r="AJ91" s="45">
        <f t="shared" ca="1" si="17"/>
        <v>6.3974399999997331</v>
      </c>
      <c r="AK91" s="464">
        <f t="shared" ca="1" si="118"/>
        <v>4.5843233974844901</v>
      </c>
      <c r="AL91" s="279"/>
    </row>
    <row r="92" spans="1:38" s="14" customFormat="1" ht="12" customHeight="1" x14ac:dyDescent="0.15">
      <c r="A92" s="32">
        <f t="shared" ca="1" si="94"/>
        <v>-141.81770257876633</v>
      </c>
      <c r="B92" s="32">
        <f t="shared" ca="1" si="95"/>
        <v>1356864.7757302434</v>
      </c>
      <c r="C92" s="32">
        <f t="shared" ca="1" si="96"/>
        <v>1215.057990669844</v>
      </c>
      <c r="D92" s="183">
        <f t="shared" ca="1" si="97"/>
        <v>478.70734550462419</v>
      </c>
      <c r="E92" s="32">
        <f t="shared" ca="1" si="98"/>
        <v>6110640.2854579994</v>
      </c>
      <c r="F92" s="760">
        <f t="shared" ca="1" si="99"/>
        <v>-917.41270837834782</v>
      </c>
      <c r="G92" s="531">
        <f t="shared" ca="1" si="100"/>
        <v>1323506.6674530222</v>
      </c>
      <c r="H92" s="532">
        <f t="shared" ca="1" si="101"/>
        <v>6040770.7606720198</v>
      </c>
      <c r="I92" s="31">
        <f t="shared" ca="1" si="102"/>
        <v>95</v>
      </c>
      <c r="J92" s="302">
        <f t="shared" ca="1" si="122"/>
        <v>4.5625660793958955</v>
      </c>
      <c r="K92" s="46">
        <f t="shared" ca="1" si="123"/>
        <v>4.5642163422546087</v>
      </c>
      <c r="L92" s="440"/>
      <c r="M92" s="441"/>
      <c r="N92" s="45">
        <f ca="1">IFERROR(IFNEG(INDIRECT(ADDRESS(MATCH(FirstLine+15,RawEntrie,0)+ROW(RawEntrie)+ROW()-20,2))-INDIRECT(ADDRESS(MATCH(1+15,RawEntrie,0)+ROW(RawEntrie)-17,2)),""),"")</f>
        <v>6.4657919999999649</v>
      </c>
      <c r="O92" s="54"/>
      <c r="P92" s="56"/>
      <c r="Q92" s="56"/>
      <c r="R92" s="322">
        <f t="shared" ca="1" si="104"/>
        <v>1323985.3747985268</v>
      </c>
      <c r="S92" s="37">
        <f t="shared" ca="1" si="107"/>
        <v>4.5034998289857944</v>
      </c>
      <c r="T92" s="38">
        <f t="shared" ca="1" si="103"/>
        <v>4.5034998289857944</v>
      </c>
      <c r="U92" s="38">
        <f t="shared" ca="1" si="120"/>
        <v>4.5034998289857944</v>
      </c>
      <c r="V92" s="38" t="str">
        <f t="shared" ca="1" si="120"/>
        <v/>
      </c>
      <c r="W92" s="37">
        <f t="shared" ca="1" si="108"/>
        <v>4.5642163422546087</v>
      </c>
      <c r="X92" s="38">
        <f t="shared" ca="1" si="121"/>
        <v>4.5642163422546087</v>
      </c>
      <c r="Y92" s="38">
        <f t="shared" ca="1" si="121"/>
        <v>4.5642163422546087</v>
      </c>
      <c r="Z92" s="47">
        <f t="shared" ca="1" si="121"/>
        <v>4.5642163422546087</v>
      </c>
      <c r="AA92" s="511">
        <f t="shared" ca="1" si="109"/>
        <v>1</v>
      </c>
      <c r="AB92" s="503">
        <f t="shared" ca="1" si="110"/>
        <v>-141.81770257876633</v>
      </c>
      <c r="AC92" s="70">
        <f t="shared" ca="1" si="111"/>
        <v>1356864.7757302434</v>
      </c>
      <c r="AD92" s="70">
        <f t="shared" ca="1" si="112"/>
        <v>1215.057990669844</v>
      </c>
      <c r="AE92" s="70">
        <f t="shared" ca="1" si="113"/>
        <v>478.70734550462419</v>
      </c>
      <c r="AF92" s="504">
        <f t="shared" ca="1" si="114"/>
        <v>6110640.2854579994</v>
      </c>
      <c r="AG92" s="507">
        <f t="shared" ca="1" si="115"/>
        <v>-917.41270837834782</v>
      </c>
      <c r="AH92" s="503">
        <f t="shared" ca="1" si="116"/>
        <v>1323506.6674530222</v>
      </c>
      <c r="AI92" s="504">
        <f t="shared" ca="1" si="117"/>
        <v>6040770.7606720198</v>
      </c>
      <c r="AJ92" s="45">
        <f t="shared" ca="1" si="17"/>
        <v>6.4657919999999649</v>
      </c>
      <c r="AK92" s="464">
        <f t="shared" ca="1" si="118"/>
        <v>4.5642163422546087</v>
      </c>
      <c r="AL92" s="279"/>
    </row>
    <row r="93" spans="1:38" s="14" customFormat="1" ht="12" customHeight="1" x14ac:dyDescent="0.15">
      <c r="A93" s="32">
        <f t="shared" ca="1" si="94"/>
        <v>630.55822676954995</v>
      </c>
      <c r="B93" s="32">
        <f t="shared" ca="1" si="95"/>
        <v>1357292.984955336</v>
      </c>
      <c r="C93" s="32">
        <f t="shared" ca="1" si="96"/>
        <v>767.62778068508487</v>
      </c>
      <c r="D93" s="183">
        <f t="shared" ca="1" si="97"/>
        <v>693.2427394020732</v>
      </c>
      <c r="E93" s="32">
        <f t="shared" ca="1" si="98"/>
        <v>6119602.2682370041</v>
      </c>
      <c r="F93" s="760">
        <f t="shared" ca="1" si="99"/>
        <v>3366.5323275776927</v>
      </c>
      <c r="G93" s="531">
        <f t="shared" ca="1" si="100"/>
        <v>1323720.3412842173</v>
      </c>
      <c r="H93" s="532">
        <f t="shared" ca="1" si="101"/>
        <v>6045448.7984150685</v>
      </c>
      <c r="I93" s="31">
        <f t="shared" ca="1" si="102"/>
        <v>96</v>
      </c>
      <c r="J93" s="302">
        <f t="shared" ca="1" si="122"/>
        <v>4.5646230689123284</v>
      </c>
      <c r="K93" s="46">
        <f t="shared" ca="1" si="123"/>
        <v>4.5670135978646593</v>
      </c>
      <c r="L93" s="440"/>
      <c r="M93" s="441"/>
      <c r="N93" s="45">
        <f ca="1">IFERROR(IFNEG(INDIRECT(ADDRESS(MATCH(FirstLine+15,RawEntrie,0)+ROW(RawEntrie)+ROW()-20,2))-INDIRECT(ADDRESS(MATCH(1+15,RawEntrie,0)+ROW(RawEntrie)-17,2)),""),"")</f>
        <v>6.5338879999994788</v>
      </c>
      <c r="O93" s="54"/>
      <c r="P93" s="56"/>
      <c r="Q93" s="56"/>
      <c r="R93" s="322">
        <f t="shared" ca="1" si="104"/>
        <v>1324413.5840236193</v>
      </c>
      <c r="S93" s="37">
        <f t="shared" ca="1" si="107"/>
        <v>4.5086818660883159</v>
      </c>
      <c r="T93" s="38">
        <f t="shared" ca="1" si="103"/>
        <v>4.5086818660883159</v>
      </c>
      <c r="U93" s="38">
        <f t="shared" ca="1" si="120"/>
        <v>4.5086818660883159</v>
      </c>
      <c r="V93" s="38">
        <f t="shared" ca="1" si="120"/>
        <v>4.5086818660883159</v>
      </c>
      <c r="W93" s="37">
        <f t="shared" ca="1" si="108"/>
        <v>4.5670135978646593</v>
      </c>
      <c r="X93" s="38">
        <f t="shared" ca="1" si="121"/>
        <v>4.5670135978646593</v>
      </c>
      <c r="Y93" s="38">
        <f t="shared" ca="1" si="121"/>
        <v>4.5670135978646593</v>
      </c>
      <c r="Z93" s="47">
        <f t="shared" ca="1" si="121"/>
        <v>4.5670135978646593</v>
      </c>
      <c r="AA93" s="511">
        <f t="shared" ca="1" si="109"/>
        <v>1</v>
      </c>
      <c r="AB93" s="503">
        <f t="shared" ca="1" si="110"/>
        <v>630.55822676954995</v>
      </c>
      <c r="AC93" s="70">
        <f t="shared" ca="1" si="111"/>
        <v>1357292.984955336</v>
      </c>
      <c r="AD93" s="70">
        <f t="shared" ca="1" si="112"/>
        <v>767.62778068508487</v>
      </c>
      <c r="AE93" s="70">
        <f t="shared" ca="1" si="113"/>
        <v>693.2427394020732</v>
      </c>
      <c r="AF93" s="504">
        <f t="shared" ca="1" si="114"/>
        <v>6119602.2682370041</v>
      </c>
      <c r="AG93" s="507">
        <f t="shared" ca="1" si="115"/>
        <v>3366.5323275776927</v>
      </c>
      <c r="AH93" s="503">
        <f t="shared" ca="1" si="116"/>
        <v>1323720.3412842173</v>
      </c>
      <c r="AI93" s="504">
        <f t="shared" ca="1" si="117"/>
        <v>6045448.7984150685</v>
      </c>
      <c r="AJ93" s="45">
        <f t="shared" ca="1" si="17"/>
        <v>6.5338879999994788</v>
      </c>
      <c r="AK93" s="464">
        <f t="shared" ca="1" si="118"/>
        <v>4.5670135978646593</v>
      </c>
      <c r="AL93" s="279"/>
    </row>
    <row r="94" spans="1:38" s="14" customFormat="1" ht="12" customHeight="1" x14ac:dyDescent="0.15">
      <c r="A94" s="32">
        <f t="shared" ca="1" si="94"/>
        <v>-835.44821518138997</v>
      </c>
      <c r="B94" s="32">
        <f t="shared" ca="1" si="95"/>
        <v>1356979.3711280229</v>
      </c>
      <c r="C94" s="32">
        <f t="shared" ca="1" si="96"/>
        <v>672.16752527518474</v>
      </c>
      <c r="D94" s="183">
        <f t="shared" ca="1" si="97"/>
        <v>-145.98687801328037</v>
      </c>
      <c r="E94" s="32">
        <f t="shared" ca="1" si="98"/>
        <v>6128252.8941478422</v>
      </c>
      <c r="F94" s="760">
        <f t="shared" ca="1" si="99"/>
        <v>4650.3650497824437</v>
      </c>
      <c r="G94" s="531">
        <f t="shared" ca="1" si="100"/>
        <v>1324245.9570743195</v>
      </c>
      <c r="H94" s="532">
        <f t="shared" ca="1" si="101"/>
        <v>6052815.5916037019</v>
      </c>
      <c r="I94" s="31">
        <f t="shared" ca="1" si="102"/>
        <v>97</v>
      </c>
      <c r="J94" s="302">
        <f t="shared" ca="1" si="122"/>
        <v>4.5712678255753856</v>
      </c>
      <c r="K94" s="46">
        <f t="shared" ca="1" si="123"/>
        <v>4.5707638820935479</v>
      </c>
      <c r="L94" s="440"/>
      <c r="M94" s="441"/>
      <c r="N94" s="45">
        <f ca="1">IFERROR(IFNEG(INDIRECT(ADDRESS(MATCH(FirstLine+15,RawEntrie,0)+ROW(RawEntrie)+ROW()-20,2))-INDIRECT(ADDRESS(MATCH(1+15,RawEntrie,0)+ROW(RawEntrie)-17,2)),""),"")</f>
        <v>6.601727999999639</v>
      </c>
      <c r="O94" s="54"/>
      <c r="P94" s="56"/>
      <c r="Q94" s="56"/>
      <c r="R94" s="322">
        <f t="shared" ca="1" si="104"/>
        <v>1324099.9701963062</v>
      </c>
      <c r="S94" s="37">
        <f t="shared" ca="1" si="107"/>
        <v>4.5160987886305</v>
      </c>
      <c r="T94" s="38">
        <f t="shared" ca="1" si="103"/>
        <v>4.5160987886305</v>
      </c>
      <c r="U94" s="38">
        <f t="shared" ca="1" si="120"/>
        <v>4.5160987886305</v>
      </c>
      <c r="V94" s="38">
        <f t="shared" ca="1" si="120"/>
        <v>4.5160987886305</v>
      </c>
      <c r="W94" s="37">
        <f t="shared" ca="1" si="108"/>
        <v>4.5707638820935479</v>
      </c>
      <c r="X94" s="38">
        <f t="shared" ca="1" si="121"/>
        <v>4.5707638820935479</v>
      </c>
      <c r="Y94" s="38">
        <f t="shared" ca="1" si="121"/>
        <v>4.5707638820935479</v>
      </c>
      <c r="Z94" s="47">
        <f t="shared" ca="1" si="121"/>
        <v>4.5707638820935479</v>
      </c>
      <c r="AA94" s="511">
        <f t="shared" ca="1" si="109"/>
        <v>1</v>
      </c>
      <c r="AB94" s="503">
        <f t="shared" ca="1" si="110"/>
        <v>-835.44821518138997</v>
      </c>
      <c r="AC94" s="70">
        <f t="shared" ca="1" si="111"/>
        <v>1356979.3711280229</v>
      </c>
      <c r="AD94" s="70">
        <f t="shared" ca="1" si="112"/>
        <v>672.16752527518474</v>
      </c>
      <c r="AE94" s="70">
        <f t="shared" ca="1" si="113"/>
        <v>-145.98687801328037</v>
      </c>
      <c r="AF94" s="504">
        <f t="shared" ca="1" si="114"/>
        <v>6128252.8941478422</v>
      </c>
      <c r="AG94" s="507">
        <f t="shared" ca="1" si="115"/>
        <v>4650.3650497824437</v>
      </c>
      <c r="AH94" s="503">
        <f t="shared" ca="1" si="116"/>
        <v>1324245.9570743195</v>
      </c>
      <c r="AI94" s="504">
        <f t="shared" ca="1" si="117"/>
        <v>6052815.5916037019</v>
      </c>
      <c r="AJ94" s="45">
        <f t="shared" ca="1" si="17"/>
        <v>6.601727999999639</v>
      </c>
      <c r="AK94" s="464">
        <f t="shared" ca="1" si="118"/>
        <v>4.5707638820935479</v>
      </c>
      <c r="AL94" s="279"/>
    </row>
    <row r="95" spans="1:38" s="14" customFormat="1" ht="12" customHeight="1" x14ac:dyDescent="0.15">
      <c r="A95" s="32">
        <f t="shared" ca="1" si="94"/>
        <v>-2179.101623322651</v>
      </c>
      <c r="B95" s="32">
        <f t="shared" ca="1" si="95"/>
        <v>1363138.4299574434</v>
      </c>
      <c r="C95" s="32">
        <f t="shared" ca="1" si="96"/>
        <v>83.944455470838875</v>
      </c>
      <c r="D95" s="183">
        <f t="shared" ca="1" si="97"/>
        <v>-1144.167632062065</v>
      </c>
      <c r="E95" s="32">
        <f t="shared" ca="1" si="98"/>
        <v>6151455.9342747517</v>
      </c>
      <c r="F95" s="760">
        <f t="shared" ca="1" si="99"/>
        <v>1525.7033459239456</v>
      </c>
      <c r="G95" s="531">
        <f t="shared" ca="1" si="100"/>
        <v>1331403.1966577887</v>
      </c>
      <c r="H95" s="532">
        <f t="shared" ca="1" si="101"/>
        <v>6079143.29343447</v>
      </c>
      <c r="I95" s="31">
        <f t="shared" ca="1" si="102"/>
        <v>98</v>
      </c>
      <c r="J95" s="302">
        <f t="shared" ca="1" si="122"/>
        <v>4.5698944046159165</v>
      </c>
      <c r="K95" s="46">
        <f t="shared" ca="1" si="123"/>
        <v>4.5659671756045777</v>
      </c>
      <c r="L95" s="440"/>
      <c r="M95" s="441"/>
      <c r="N95" s="45">
        <f ca="1">IFERROR(IFNEG(INDIRECT(ADDRESS(MATCH(FirstLine+15,RawEntrie,0)+ROW(RawEntrie)+ROW()-20,2))-INDIRECT(ADDRESS(MATCH(1+15,RawEntrie,0)+ROW(RawEntrie)-17,2)),""),"")</f>
        <v>6.6698240000000624</v>
      </c>
      <c r="O95" s="54"/>
      <c r="P95" s="56"/>
      <c r="Q95" s="56"/>
      <c r="R95" s="322">
        <f t="shared" ca="1" si="104"/>
        <v>1330259.0290257267</v>
      </c>
      <c r="S95" s="37">
        <f t="shared" ca="1" si="107"/>
        <v>4.5127155093608486</v>
      </c>
      <c r="T95" s="38">
        <f t="shared" ca="1" si="103"/>
        <v>4.5127155093608486</v>
      </c>
      <c r="U95" s="38">
        <f t="shared" ca="1" si="120"/>
        <v>4.5127155093608486</v>
      </c>
      <c r="V95" s="38">
        <f t="shared" ca="1" si="120"/>
        <v>4.5127155093608486</v>
      </c>
      <c r="W95" s="37">
        <f t="shared" ca="1" si="108"/>
        <v>4.5659671756045777</v>
      </c>
      <c r="X95" s="38">
        <f t="shared" ca="1" si="121"/>
        <v>4.5659671756045777</v>
      </c>
      <c r="Y95" s="38">
        <f t="shared" ca="1" si="121"/>
        <v>4.5659671756045777</v>
      </c>
      <c r="Z95" s="47">
        <f t="shared" ca="1" si="121"/>
        <v>4.5659671756045777</v>
      </c>
      <c r="AA95" s="511">
        <f t="shared" ca="1" si="109"/>
        <v>1</v>
      </c>
      <c r="AB95" s="503">
        <f t="shared" ca="1" si="110"/>
        <v>-2179.101623322651</v>
      </c>
      <c r="AC95" s="70">
        <f t="shared" ca="1" si="111"/>
        <v>1363138.4299574434</v>
      </c>
      <c r="AD95" s="70">
        <f t="shared" ca="1" si="112"/>
        <v>83.944455470838875</v>
      </c>
      <c r="AE95" s="70">
        <f t="shared" ca="1" si="113"/>
        <v>-1144.167632062065</v>
      </c>
      <c r="AF95" s="504">
        <f t="shared" ca="1" si="114"/>
        <v>6151455.9342747517</v>
      </c>
      <c r="AG95" s="507">
        <f t="shared" ca="1" si="115"/>
        <v>1525.7033459239456</v>
      </c>
      <c r="AH95" s="503">
        <f t="shared" ca="1" si="116"/>
        <v>1331403.1966577887</v>
      </c>
      <c r="AI95" s="504">
        <f t="shared" ca="1" si="117"/>
        <v>6079143.29343447</v>
      </c>
      <c r="AJ95" s="45">
        <f t="shared" ca="1" si="17"/>
        <v>6.6698240000000624</v>
      </c>
      <c r="AK95" s="464">
        <f t="shared" ca="1" si="118"/>
        <v>4.5659671756045777</v>
      </c>
      <c r="AL95" s="279"/>
    </row>
    <row r="96" spans="1:38" s="14" customFormat="1" ht="12" customHeight="1" x14ac:dyDescent="0.15">
      <c r="A96" s="32">
        <f t="shared" ca="1" si="94"/>
        <v>1207.9475316136522</v>
      </c>
      <c r="B96" s="32">
        <f t="shared" ca="1" si="95"/>
        <v>1373064.5424490736</v>
      </c>
      <c r="C96" s="32">
        <f t="shared" ca="1" si="96"/>
        <v>80.867987875248218</v>
      </c>
      <c r="D96" s="183">
        <f t="shared" ca="1" si="97"/>
        <v>692.51263101665506</v>
      </c>
      <c r="E96" s="32">
        <f t="shared" ca="1" si="98"/>
        <v>6180913.2563136509</v>
      </c>
      <c r="F96" s="760">
        <f t="shared" ca="1" si="99"/>
        <v>144.03736928777471</v>
      </c>
      <c r="G96" s="531">
        <f t="shared" ca="1" si="100"/>
        <v>1339492.6288863404</v>
      </c>
      <c r="H96" s="532">
        <f t="shared" ca="1" si="101"/>
        <v>6109982.2814500052</v>
      </c>
      <c r="I96" s="31">
        <f t="shared" ca="1" si="102"/>
        <v>99</v>
      </c>
      <c r="J96" s="302">
        <f t="shared" ca="1" si="122"/>
        <v>4.5590583660197028</v>
      </c>
      <c r="K96" s="46">
        <f t="shared" ca="1" si="123"/>
        <v>4.5614153819792715</v>
      </c>
      <c r="L96" s="440"/>
      <c r="M96" s="441"/>
      <c r="N96" s="45">
        <f ca="1">IFERROR(IFNEG(INDIRECT(ADDRESS(MATCH(FirstLine+15,RawEntrie,0)+ROW(RawEntrie)+ROW()-20,2))-INDIRECT(ADDRESS(MATCH(1+15,RawEntrie,0)+ROW(RawEntrie)-17,2)),""),"")</f>
        <v>6.737920000000031</v>
      </c>
      <c r="O96" s="54"/>
      <c r="P96" s="56"/>
      <c r="Q96" s="56"/>
      <c r="R96" s="322">
        <f t="shared" ca="1" si="104"/>
        <v>1340185.141517357</v>
      </c>
      <c r="S96" s="37">
        <f t="shared" ref="S96:S100" ca="1" si="124">IFERROR(IF(E96&gt;LimitSignB11b,E96/B96,""),"")</f>
        <v>4.5015460418845521</v>
      </c>
      <c r="T96" s="38">
        <f t="shared" ca="1" si="103"/>
        <v>4.5015460418845521</v>
      </c>
      <c r="U96" s="38" t="str">
        <f t="shared" ca="1" si="120"/>
        <v/>
      </c>
      <c r="V96" s="38" t="str">
        <f t="shared" ca="1" si="120"/>
        <v/>
      </c>
      <c r="W96" s="37">
        <f t="shared" ref="W96:W100" ca="1" si="125">IFERROR(IF(E96&gt;LimitSignB11b,H96/G96,""),"")</f>
        <v>4.5614153819792715</v>
      </c>
      <c r="X96" s="38">
        <f t="shared" ca="1" si="121"/>
        <v>4.5614153819792715</v>
      </c>
      <c r="Y96" s="38">
        <f t="shared" ca="1" si="121"/>
        <v>4.5614153819792715</v>
      </c>
      <c r="Z96" s="47">
        <f t="shared" ca="1" si="121"/>
        <v>4.5614153819792715</v>
      </c>
      <c r="AA96" s="511">
        <f t="shared" ref="AA96:AA100" ca="1" si="126">IF(K96&lt;&gt;"",1,"")</f>
        <v>1</v>
      </c>
      <c r="AB96" s="503">
        <f t="shared" ref="AB96:AI100" ca="1" si="127">IF($AA96=1,A96," ")</f>
        <v>1207.9475316136522</v>
      </c>
      <c r="AC96" s="70">
        <f t="shared" ca="1" si="127"/>
        <v>1373064.5424490736</v>
      </c>
      <c r="AD96" s="70">
        <f t="shared" ca="1" si="127"/>
        <v>80.867987875248218</v>
      </c>
      <c r="AE96" s="70">
        <f t="shared" ca="1" si="127"/>
        <v>692.51263101665506</v>
      </c>
      <c r="AF96" s="504">
        <f t="shared" ca="1" si="127"/>
        <v>6180913.2563136509</v>
      </c>
      <c r="AG96" s="507">
        <f t="shared" ca="1" si="127"/>
        <v>144.03736928777471</v>
      </c>
      <c r="AH96" s="503">
        <f t="shared" ca="1" si="127"/>
        <v>1339492.6288863404</v>
      </c>
      <c r="AI96" s="504">
        <f t="shared" ca="1" si="127"/>
        <v>6109982.2814500052</v>
      </c>
      <c r="AJ96" s="45">
        <f t="shared" ca="1" si="17"/>
        <v>6.737920000000031</v>
      </c>
      <c r="AK96" s="464">
        <f t="shared" ref="AK96:AK100" ca="1" si="128">IF(K96="",NA(),K96)</f>
        <v>4.5614153819792715</v>
      </c>
      <c r="AL96" s="279"/>
    </row>
    <row r="97" spans="1:43" s="14" customFormat="1" ht="12" customHeight="1" x14ac:dyDescent="0.15">
      <c r="A97" s="32">
        <f t="shared" ca="1" si="94"/>
        <v>3604.9934755594368</v>
      </c>
      <c r="B97" s="32">
        <f t="shared" ca="1" si="95"/>
        <v>1374856.2367247387</v>
      </c>
      <c r="C97" s="32">
        <f t="shared" ca="1" si="96"/>
        <v>744.48946328681268</v>
      </c>
      <c r="D97" s="183">
        <f t="shared" ca="1" si="97"/>
        <v>2296.8306139280294</v>
      </c>
      <c r="E97" s="32">
        <f t="shared" ca="1" si="98"/>
        <v>6188510.7071753591</v>
      </c>
      <c r="F97" s="760">
        <f t="shared" ca="1" si="99"/>
        <v>-700.24621841491626</v>
      </c>
      <c r="G97" s="531">
        <f t="shared" ca="1" si="100"/>
        <v>1339680.0051790942</v>
      </c>
      <c r="H97" s="532">
        <f t="shared" ca="1" si="101"/>
        <v>6118424.0158994161</v>
      </c>
      <c r="I97" s="31">
        <f t="shared" ca="1" si="102"/>
        <v>100</v>
      </c>
      <c r="J97" s="302">
        <f t="shared" ca="1" si="122"/>
        <v>4.5592620175770922</v>
      </c>
      <c r="K97" s="46">
        <f t="shared" ca="1" si="123"/>
        <v>4.5670786995745889</v>
      </c>
      <c r="L97" s="440"/>
      <c r="M97" s="441"/>
      <c r="N97" s="45">
        <f ca="1">IFERROR(IFNEG(INDIRECT(ADDRESS(MATCH(FirstLine+15,RawEntrie,0)+ROW(RawEntrie)+ROW()-20,2))-INDIRECT(ADDRESS(MATCH(1+15,RawEntrie,0)+ROW(RawEntrie)-17,2)),""),"")</f>
        <v>6.806271999999808</v>
      </c>
      <c r="O97" s="54"/>
      <c r="P97" s="56"/>
      <c r="Q97" s="56"/>
      <c r="R97" s="322">
        <f t="shared" ca="1" si="104"/>
        <v>1341976.8357930221</v>
      </c>
      <c r="S97" s="37">
        <f t="shared" ca="1" si="124"/>
        <v>4.5012056838160648</v>
      </c>
      <c r="T97" s="38">
        <f t="shared" ca="1" si="103"/>
        <v>4.5012056838160648</v>
      </c>
      <c r="U97" s="38" t="str">
        <f t="shared" ca="1" si="120"/>
        <v/>
      </c>
      <c r="V97" s="38" t="str">
        <f t="shared" ca="1" si="120"/>
        <v/>
      </c>
      <c r="W97" s="37">
        <f t="shared" ca="1" si="125"/>
        <v>4.5670786995745889</v>
      </c>
      <c r="X97" s="38">
        <f t="shared" ca="1" si="121"/>
        <v>4.5670786995745889</v>
      </c>
      <c r="Y97" s="38">
        <f t="shared" ca="1" si="121"/>
        <v>4.5670786995745889</v>
      </c>
      <c r="Z97" s="47">
        <f t="shared" ca="1" si="121"/>
        <v>4.5670786995745889</v>
      </c>
      <c r="AA97" s="511">
        <f t="shared" ca="1" si="126"/>
        <v>1</v>
      </c>
      <c r="AB97" s="503">
        <f t="shared" ca="1" si="127"/>
        <v>3604.9934755594368</v>
      </c>
      <c r="AC97" s="70">
        <f t="shared" ca="1" si="127"/>
        <v>1374856.2367247387</v>
      </c>
      <c r="AD97" s="70">
        <f t="shared" ca="1" si="127"/>
        <v>744.48946328681268</v>
      </c>
      <c r="AE97" s="70">
        <f t="shared" ca="1" si="127"/>
        <v>2296.8306139280294</v>
      </c>
      <c r="AF97" s="504">
        <f t="shared" ca="1" si="127"/>
        <v>6188510.7071753591</v>
      </c>
      <c r="AG97" s="507">
        <f t="shared" ca="1" si="127"/>
        <v>-700.24621841491626</v>
      </c>
      <c r="AH97" s="503">
        <f t="shared" ca="1" si="127"/>
        <v>1339680.0051790942</v>
      </c>
      <c r="AI97" s="504">
        <f t="shared" ca="1" si="127"/>
        <v>6118424.0158994161</v>
      </c>
      <c r="AJ97" s="45">
        <f t="shared" ca="1" si="17"/>
        <v>6.806271999999808</v>
      </c>
      <c r="AK97" s="464">
        <f t="shared" ca="1" si="128"/>
        <v>4.5670786995745889</v>
      </c>
      <c r="AL97" s="279"/>
    </row>
    <row r="98" spans="1:43" s="14" customFormat="1" ht="12" customHeight="1" x14ac:dyDescent="0.15">
      <c r="A98" s="32">
        <f t="shared" ca="1" si="94"/>
        <v>1778.7933410064215</v>
      </c>
      <c r="B98" s="32">
        <f t="shared" ca="1" si="95"/>
        <v>1369145.212983082</v>
      </c>
      <c r="C98" s="32">
        <f t="shared" ca="1" si="96"/>
        <v>1305.0422767041891</v>
      </c>
      <c r="D98" s="183">
        <f t="shared" ca="1" si="97"/>
        <v>1562.1379735188727</v>
      </c>
      <c r="E98" s="32">
        <f t="shared" ca="1" si="98"/>
        <v>6168300.4875889737</v>
      </c>
      <c r="F98" s="760">
        <f t="shared" ca="1" si="99"/>
        <v>-526.44478376940242</v>
      </c>
      <c r="G98" s="531">
        <f t="shared" ca="1" si="100"/>
        <v>1334703.6740778466</v>
      </c>
      <c r="H98" s="532">
        <f t="shared" ca="1" si="101"/>
        <v>6098039.9948783852</v>
      </c>
      <c r="I98" s="31">
        <f t="shared" ca="1" si="102"/>
        <v>101</v>
      </c>
      <c r="J98" s="302">
        <f t="shared" ca="1" si="122"/>
        <v>4.5634932360628104</v>
      </c>
      <c r="K98" s="46">
        <f t="shared" ca="1" si="123"/>
        <v>4.5688343512589427</v>
      </c>
      <c r="L98" s="440"/>
      <c r="M98" s="441"/>
      <c r="N98" s="45">
        <f ca="1">IFERROR(IFNEG(INDIRECT(ADDRESS(MATCH(FirstLine+15,RawEntrie,0)+ROW(RawEntrie)+ROW()-20,2))-INDIRECT(ADDRESS(MATCH(1+15,RawEntrie,0)+ROW(RawEntrie)-17,2)),""),"")</f>
        <v>6.8743679999997767</v>
      </c>
      <c r="O98" s="54"/>
      <c r="P98" s="56"/>
      <c r="Q98" s="56"/>
      <c r="R98" s="322">
        <f t="shared" ca="1" si="104"/>
        <v>1336265.8120513654</v>
      </c>
      <c r="S98" s="37">
        <f t="shared" ca="1" si="124"/>
        <v>4.5052200665768192</v>
      </c>
      <c r="T98" s="38">
        <f t="shared" ca="1" si="103"/>
        <v>4.5052200665768192</v>
      </c>
      <c r="U98" s="38">
        <f t="shared" ca="1" si="120"/>
        <v>4.5052200665768192</v>
      </c>
      <c r="V98" s="38">
        <f t="shared" ca="1" si="120"/>
        <v>4.5052200665768192</v>
      </c>
      <c r="W98" s="37">
        <f t="shared" ca="1" si="125"/>
        <v>4.5688343512589427</v>
      </c>
      <c r="X98" s="38">
        <f t="shared" ca="1" si="121"/>
        <v>4.5688343512589427</v>
      </c>
      <c r="Y98" s="38">
        <f t="shared" ca="1" si="121"/>
        <v>4.5688343512589427</v>
      </c>
      <c r="Z98" s="47">
        <f t="shared" ca="1" si="121"/>
        <v>4.5688343512589427</v>
      </c>
      <c r="AA98" s="511">
        <f t="shared" ca="1" si="126"/>
        <v>1</v>
      </c>
      <c r="AB98" s="503">
        <f t="shared" ca="1" si="127"/>
        <v>1778.7933410064215</v>
      </c>
      <c r="AC98" s="70">
        <f t="shared" ca="1" si="127"/>
        <v>1369145.212983082</v>
      </c>
      <c r="AD98" s="70">
        <f t="shared" ca="1" si="127"/>
        <v>1305.0422767041891</v>
      </c>
      <c r="AE98" s="70">
        <f t="shared" ca="1" si="127"/>
        <v>1562.1379735188727</v>
      </c>
      <c r="AF98" s="504">
        <f t="shared" ca="1" si="127"/>
        <v>6168300.4875889737</v>
      </c>
      <c r="AG98" s="507">
        <f t="shared" ca="1" si="127"/>
        <v>-526.44478376940242</v>
      </c>
      <c r="AH98" s="503">
        <f t="shared" ca="1" si="127"/>
        <v>1334703.6740778466</v>
      </c>
      <c r="AI98" s="504">
        <f t="shared" ca="1" si="127"/>
        <v>6098039.9948783852</v>
      </c>
      <c r="AJ98" s="45">
        <f t="shared" ca="1" si="17"/>
        <v>6.8743679999997767</v>
      </c>
      <c r="AK98" s="464">
        <f t="shared" ca="1" si="128"/>
        <v>4.5688343512589427</v>
      </c>
      <c r="AL98" s="279"/>
    </row>
    <row r="99" spans="1:43" s="14" customFormat="1" ht="12" customHeight="1" x14ac:dyDescent="0.15">
      <c r="A99" s="32" t="e">
        <f t="shared" ca="1" si="94"/>
        <v>#VALUE!</v>
      </c>
      <c r="B99" s="32" t="str">
        <f t="shared" ca="1" si="95"/>
        <v/>
      </c>
      <c r="C99" s="32" t="e">
        <f t="shared" ca="1" si="96"/>
        <v>#VALUE!</v>
      </c>
      <c r="D99" s="183" t="str">
        <f t="shared" ca="1" si="97"/>
        <v/>
      </c>
      <c r="E99" s="32" t="str">
        <f t="shared" ca="1" si="98"/>
        <v/>
      </c>
      <c r="F99" s="760">
        <f t="shared" ca="1" si="99"/>
        <v>0</v>
      </c>
      <c r="G99" s="531" t="str">
        <f t="shared" ca="1" si="100"/>
        <v/>
      </c>
      <c r="H99" s="532" t="str">
        <f t="shared" ca="1" si="101"/>
        <v/>
      </c>
      <c r="I99" s="31">
        <f t="shared" ca="1" si="102"/>
        <v>0</v>
      </c>
      <c r="J99" s="302" t="str">
        <f t="shared" ca="1" si="122"/>
        <v/>
      </c>
      <c r="K99" s="46" t="str">
        <f t="shared" ca="1" si="123"/>
        <v/>
      </c>
      <c r="L99" s="440"/>
      <c r="M99" s="441"/>
      <c r="N99" s="45" t="str">
        <f ca="1">IFERROR(IFNEG(INDIRECT(ADDRESS(MATCH(FirstLine+15,RawEntrie,0)+ROW(RawEntrie)+ROW()-20,2))-INDIRECT(ADDRESS(MATCH(1+15,RawEntrie,0)+ROW(RawEntrie)-17,2)),""),"")</f>
        <v/>
      </c>
      <c r="O99" s="54"/>
      <c r="P99" s="56"/>
      <c r="Q99" s="56"/>
      <c r="R99" s="322" t="str">
        <f t="shared" ca="1" si="104"/>
        <v/>
      </c>
      <c r="S99" s="37" t="str">
        <f t="shared" ca="1" si="124"/>
        <v/>
      </c>
      <c r="T99" s="38" t="str">
        <f t="shared" ca="1" si="103"/>
        <v/>
      </c>
      <c r="U99" s="38" t="str">
        <f t="shared" ca="1" si="120"/>
        <v/>
      </c>
      <c r="V99" s="38" t="str">
        <f t="shared" ca="1" si="120"/>
        <v/>
      </c>
      <c r="W99" s="37" t="str">
        <f t="shared" ca="1" si="125"/>
        <v/>
      </c>
      <c r="X99" s="38" t="str">
        <f t="shared" ca="1" si="121"/>
        <v/>
      </c>
      <c r="Y99" s="38" t="str">
        <f t="shared" ca="1" si="121"/>
        <v/>
      </c>
      <c r="Z99" s="47" t="str">
        <f t="shared" ca="1" si="121"/>
        <v/>
      </c>
      <c r="AA99" s="511" t="str">
        <f t="shared" ca="1" si="126"/>
        <v/>
      </c>
      <c r="AB99" s="503" t="str">
        <f t="shared" ca="1" si="127"/>
        <v xml:space="preserve"> </v>
      </c>
      <c r="AC99" s="70" t="str">
        <f t="shared" ca="1" si="127"/>
        <v xml:space="preserve"> </v>
      </c>
      <c r="AD99" s="70" t="str">
        <f t="shared" ca="1" si="127"/>
        <v xml:space="preserve"> </v>
      </c>
      <c r="AE99" s="70" t="str">
        <f t="shared" ca="1" si="127"/>
        <v xml:space="preserve"> </v>
      </c>
      <c r="AF99" s="504" t="str">
        <f t="shared" ca="1" si="127"/>
        <v xml:space="preserve"> </v>
      </c>
      <c r="AG99" s="507" t="str">
        <f t="shared" ca="1" si="127"/>
        <v xml:space="preserve"> </v>
      </c>
      <c r="AH99" s="503" t="str">
        <f t="shared" ca="1" si="127"/>
        <v xml:space="preserve"> </v>
      </c>
      <c r="AI99" s="504" t="str">
        <f t="shared" ca="1" si="127"/>
        <v xml:space="preserve"> </v>
      </c>
      <c r="AJ99" s="45" t="e">
        <f t="shared" ca="1" si="17"/>
        <v>#N/A</v>
      </c>
      <c r="AK99" s="464" t="e">
        <f t="shared" ca="1" si="128"/>
        <v>#N/A</v>
      </c>
      <c r="AL99" s="279"/>
    </row>
    <row r="100" spans="1:43" s="14" customFormat="1" ht="12" customHeight="1" thickBot="1" x14ac:dyDescent="0.2">
      <c r="A100" s="32" t="e">
        <f t="shared" ca="1" si="94"/>
        <v>#VALUE!</v>
      </c>
      <c r="B100" s="32" t="str">
        <f t="shared" ca="1" si="95"/>
        <v/>
      </c>
      <c r="C100" s="32" t="e">
        <f t="shared" ca="1" si="96"/>
        <v>#VALUE!</v>
      </c>
      <c r="D100" s="183" t="str">
        <f t="shared" ca="1" si="97"/>
        <v/>
      </c>
      <c r="E100" s="32" t="str">
        <f t="shared" ca="1" si="98"/>
        <v/>
      </c>
      <c r="F100" s="760">
        <f t="shared" ca="1" si="99"/>
        <v>0</v>
      </c>
      <c r="G100" s="531" t="str">
        <f t="shared" ca="1" si="100"/>
        <v/>
      </c>
      <c r="H100" s="532" t="str">
        <f t="shared" ca="1" si="101"/>
        <v/>
      </c>
      <c r="I100" s="31">
        <f t="shared" ca="1" si="102"/>
        <v>0</v>
      </c>
      <c r="J100" s="302"/>
      <c r="K100" s="46"/>
      <c r="L100" s="440"/>
      <c r="M100" s="441"/>
      <c r="N100" s="45" t="str">
        <f ca="1">IFERROR(IFNEG(INDIRECT(ADDRESS(MATCH(FirstLine+15,RawEntrie,0)+ROW(RawEntrie)+ROW()-20,2))-INDIRECT(ADDRESS(MATCH(1+15,RawEntrie,0)+ROW(RawEntrie)-17,2)),""),"")</f>
        <v/>
      </c>
      <c r="O100" s="54"/>
      <c r="P100" s="56"/>
      <c r="Q100" s="56"/>
      <c r="R100" s="322" t="str">
        <f t="shared" ca="1" si="104"/>
        <v/>
      </c>
      <c r="S100" s="37" t="str">
        <f t="shared" ca="1" si="124"/>
        <v/>
      </c>
      <c r="T100" s="38" t="str">
        <f t="shared" ref="T100" ca="1" si="129">IF(S100&gt;S$104,"",IF(S100&lt;S$105,"",S100))</f>
        <v/>
      </c>
      <c r="U100" s="38" t="str">
        <f t="shared" ca="1" si="120"/>
        <v/>
      </c>
      <c r="V100" s="38" t="str">
        <f t="shared" ca="1" si="120"/>
        <v/>
      </c>
      <c r="W100" s="37" t="str">
        <f t="shared" ca="1" si="125"/>
        <v/>
      </c>
      <c r="X100" s="38" t="str">
        <f t="shared" ca="1" si="121"/>
        <v/>
      </c>
      <c r="Y100" s="38" t="str">
        <f t="shared" ca="1" si="121"/>
        <v/>
      </c>
      <c r="Z100" s="47" t="str">
        <f t="shared" ca="1" si="121"/>
        <v/>
      </c>
      <c r="AA100" s="511" t="str">
        <f t="shared" si="126"/>
        <v/>
      </c>
      <c r="AB100" s="503" t="str">
        <f t="shared" si="127"/>
        <v xml:space="preserve"> </v>
      </c>
      <c r="AC100" s="70" t="str">
        <f t="shared" si="127"/>
        <v xml:space="preserve"> </v>
      </c>
      <c r="AD100" s="70" t="str">
        <f t="shared" si="127"/>
        <v xml:space="preserve"> </v>
      </c>
      <c r="AE100" s="70" t="str">
        <f t="shared" si="127"/>
        <v xml:space="preserve"> </v>
      </c>
      <c r="AF100" s="504" t="str">
        <f t="shared" si="127"/>
        <v xml:space="preserve"> </v>
      </c>
      <c r="AG100" s="507" t="str">
        <f t="shared" si="127"/>
        <v xml:space="preserve"> </v>
      </c>
      <c r="AH100" s="503" t="str">
        <f t="shared" si="127"/>
        <v xml:space="preserve"> </v>
      </c>
      <c r="AI100" s="504" t="str">
        <f t="shared" si="127"/>
        <v xml:space="preserve"> </v>
      </c>
      <c r="AJ100" s="45" t="e">
        <f t="shared" ca="1" si="17"/>
        <v>#N/A</v>
      </c>
      <c r="AK100" s="464" t="e">
        <f t="shared" si="128"/>
        <v>#N/A</v>
      </c>
      <c r="AL100" s="279"/>
    </row>
    <row r="101" spans="1:43" s="14" customFormat="1" ht="17.25" customHeight="1" thickBot="1" x14ac:dyDescent="0.25">
      <c r="A101" s="618" t="e">
        <f t="shared" ref="A101:H101" ca="1" si="130">AVERAGE(A3:A100)</f>
        <v>#VALUE!</v>
      </c>
      <c r="B101" s="618">
        <f t="shared" ca="1" si="130"/>
        <v>1502576.1342669742</v>
      </c>
      <c r="C101" s="618" t="e">
        <f t="shared" ca="1" si="130"/>
        <v>#VALUE!</v>
      </c>
      <c r="D101" s="618">
        <f t="shared" ca="1" si="130"/>
        <v>757.42360990986253</v>
      </c>
      <c r="E101" s="618">
        <f t="shared" ca="1" si="130"/>
        <v>6791918.6252617287</v>
      </c>
      <c r="F101" s="761">
        <f t="shared" ca="1" si="130"/>
        <v>454.30565566047346</v>
      </c>
      <c r="G101" s="618">
        <f t="shared" ca="1" si="130"/>
        <v>1468939.3097253467</v>
      </c>
      <c r="H101" s="618">
        <f t="shared" ca="1" si="130"/>
        <v>6720667.9174105488</v>
      </c>
      <c r="I101" s="53"/>
      <c r="J101" s="619">
        <f ca="1">IFERROR(IF(LogRat, ARavrLogRat(CalcBratio), AVERAGE(CalcBratio)),"")</f>
        <v>4.5707863209195585</v>
      </c>
      <c r="K101" s="619">
        <f ca="1">IFERROR(IF(LogRat, ARavrLogRat(K3:K100), AVERAGE(K3:K100)),"")</f>
        <v>4.5730568276067274</v>
      </c>
      <c r="L101" s="620">
        <f>IFERROR(IF(LogRat, ARavrLogRat(L3:L100), AVERAGE(L3:L100)),"")</f>
        <v>0</v>
      </c>
      <c r="M101" s="620">
        <f>IFERROR(IF(LogRat, ARavrLogRat(M3:M100), AVERAGE(M3:M100)),"")</f>
        <v>0</v>
      </c>
      <c r="N101" s="402"/>
      <c r="O101" s="53"/>
      <c r="P101" s="53"/>
      <c r="Q101" s="403"/>
      <c r="R101" s="43"/>
      <c r="S101" s="508">
        <f t="shared" ref="S101:Z101" ca="1" si="131">IFERROR(AVERAGE(S3:S100),"")</f>
        <v>4.5198985760124355</v>
      </c>
      <c r="T101" s="508">
        <f t="shared" ca="1" si="131"/>
        <v>4.5188859496754139</v>
      </c>
      <c r="U101" s="508">
        <f t="shared" ca="1" si="131"/>
        <v>4.5188786467100686</v>
      </c>
      <c r="V101" s="508">
        <f t="shared" ca="1" si="131"/>
        <v>4.5190685726840893</v>
      </c>
      <c r="W101" s="508">
        <f t="shared" ca="1" si="131"/>
        <v>4.57508388912317</v>
      </c>
      <c r="X101" s="508">
        <f t="shared" ca="1" si="131"/>
        <v>4.5743302089035058</v>
      </c>
      <c r="Y101" s="508">
        <f t="shared" ca="1" si="131"/>
        <v>4.5736819620262175</v>
      </c>
      <c r="Z101" s="509">
        <f t="shared" ca="1" si="131"/>
        <v>4.5736838116880838</v>
      </c>
      <c r="AA101" s="44"/>
      <c r="AB101" s="512">
        <f t="shared" ref="AB101:AI101" ca="1" si="132">IFERROR(AVERAGE(AB3:AB100),"")</f>
        <v>880.55671846424798</v>
      </c>
      <c r="AC101" s="512">
        <f t="shared" ca="1" si="132"/>
        <v>1499407.3575204532</v>
      </c>
      <c r="AD101" s="512">
        <f t="shared" ca="1" si="132"/>
        <v>511.53340023517961</v>
      </c>
      <c r="AE101" s="512">
        <f t="shared" ca="1" si="132"/>
        <v>711.79534008053963</v>
      </c>
      <c r="AF101" s="512">
        <f t="shared" ca="1" si="132"/>
        <v>6774576.5024390109</v>
      </c>
      <c r="AG101" s="512">
        <f t="shared" ca="1" si="132"/>
        <v>437.53659338634913</v>
      </c>
      <c r="AH101" s="512">
        <f t="shared" ca="1" si="132"/>
        <v>1465816.1612486553</v>
      </c>
      <c r="AI101" s="513">
        <f t="shared" ca="1" si="132"/>
        <v>6703352.0283512659</v>
      </c>
      <c r="AJ101" s="53"/>
      <c r="AK101" s="53"/>
    </row>
    <row r="102" spans="1:43" s="14" customFormat="1" ht="16" x14ac:dyDescent="0.2">
      <c r="A102" s="495" t="str">
        <f ca="1">IFERROR(IF(LogRat, ARstdvLogRat(_9.98B), STDEV(_9.98B)),"")</f>
        <v/>
      </c>
      <c r="B102" s="424">
        <f ca="1">IFERROR(IF(LogRat, ARavrLogRat(_10B), AVERAGE(_10B)),"")</f>
        <v>1502600.0269446804</v>
      </c>
      <c r="C102" s="617" t="str">
        <f ca="1">IFERROR(IF(LogRat, ARavrLogRat(_10.08B), AVERAGE(_10.08B)),"")</f>
        <v/>
      </c>
      <c r="D102" s="385">
        <f ca="1">IFERROR(IF(LogRat, ARstdvLogRat(_10Bbul), STDEV(_10Bbul)),"")</f>
        <v>3070.6574279062565</v>
      </c>
      <c r="E102" s="425">
        <f ca="1">IFERROR(IF(LogRat, ARavrLogRat(_11B), AVERAGE(_11B)),"")</f>
        <v>6792029.0914936047</v>
      </c>
      <c r="F102" s="549">
        <f ca="1">AVERAGE(F4:F100)</f>
        <v>454.81351909141068</v>
      </c>
      <c r="G102" s="549">
        <f ca="1">AVERAGE(G4:G100)</f>
        <v>1467935.9764122532</v>
      </c>
      <c r="H102" s="551">
        <f ca="1">IFERROR(IF(LogRat, ARavrLogRat(_11Bback), AVERAGE(_11Bback)),"")</f>
        <v>6720780.0485246014</v>
      </c>
      <c r="I102" s="53"/>
      <c r="J102" s="191">
        <f ca="1">IFERROR(IF(LogRat, ARstdvLogRat(CalcBratio), STDEV(CalcBratio)),"")</f>
        <v>6.5586704212058531E-3</v>
      </c>
      <c r="K102" s="191">
        <f ca="1">IFERROR(IF(LogRat, ARstdvLogRat(K3:K100), STDEV(K3:K100)),"")</f>
        <v>6.5254570279270827E-3</v>
      </c>
      <c r="L102" s="191">
        <f>IFERROR(IF(LogRat, ARstdvLogRat(L3:L100), STDEV(L3:L100)),"")</f>
        <v>0</v>
      </c>
      <c r="M102" s="191">
        <f>IFERROR(IF(LogRat, ARstdvLogRat(M3:M100), STDEV(M3:M100)),"")</f>
        <v>0</v>
      </c>
      <c r="N102" s="271"/>
      <c r="O102" s="331"/>
      <c r="P102" s="332"/>
      <c r="Q102" s="333"/>
      <c r="R102" s="42"/>
      <c r="S102" s="57">
        <f t="shared" ref="S102:Z102" ca="1" si="133">IFERROR(STDEV(S3:S100),"")</f>
        <v>9.4675351016455106E-3</v>
      </c>
      <c r="T102" s="57">
        <f t="shared" ca="1" si="133"/>
        <v>8.1419719563200366E-3</v>
      </c>
      <c r="U102" s="57">
        <f t="shared" ca="1" si="133"/>
        <v>7.4142277498599881E-3</v>
      </c>
      <c r="V102" s="57">
        <f t="shared" ca="1" si="133"/>
        <v>6.9398324355621852E-3</v>
      </c>
      <c r="W102" s="57">
        <f t="shared" ca="1" si="133"/>
        <v>9.2174369151165926E-3</v>
      </c>
      <c r="X102" s="57">
        <f t="shared" ca="1" si="133"/>
        <v>8.3031500496558979E-3</v>
      </c>
      <c r="Y102" s="58">
        <f t="shared" ca="1" si="133"/>
        <v>7.2992586915847767E-3</v>
      </c>
      <c r="Z102" s="57">
        <f t="shared" ca="1" si="133"/>
        <v>6.9850467938522877E-3</v>
      </c>
      <c r="AA102" s="44"/>
      <c r="AB102" s="514">
        <f t="shared" ref="AB102:AI102" ca="1" si="134">IFERROR(STDEV(AB3:AB100),"")</f>
        <v>1574.2203127062069</v>
      </c>
      <c r="AC102" s="514">
        <f t="shared" ca="1" si="134"/>
        <v>82269.167337886014</v>
      </c>
      <c r="AD102" s="514">
        <f t="shared" ca="1" si="134"/>
        <v>1436.2048881060696</v>
      </c>
      <c r="AE102" s="514">
        <f t="shared" ca="1" si="134"/>
        <v>986.69478260751885</v>
      </c>
      <c r="AF102" s="514">
        <f t="shared" ca="1" si="134"/>
        <v>378076.6367964762</v>
      </c>
      <c r="AG102" s="514">
        <f t="shared" ca="1" si="134"/>
        <v>1954.5323818343845</v>
      </c>
      <c r="AH102" s="514">
        <f t="shared" ca="1" si="134"/>
        <v>82316.257891668211</v>
      </c>
      <c r="AI102" s="514">
        <f t="shared" ca="1" si="134"/>
        <v>378122.05091722007</v>
      </c>
      <c r="AJ102" s="53"/>
      <c r="AK102" s="53"/>
    </row>
    <row r="103" spans="1:43" s="14" customFormat="1" ht="15" thickBot="1" x14ac:dyDescent="0.2">
      <c r="A103" s="496" t="str">
        <f ca="1">IFERROR((A102/A101*100)/((COUNT(_9.98B)-1)^0.5),"")</f>
        <v/>
      </c>
      <c r="B103" s="384">
        <f ca="1">IFERROR((B102/B101*100)/((COUNT(_10B)-1)^0.5),"")</f>
        <v>10.259946663134592</v>
      </c>
      <c r="C103" s="384" t="str">
        <f ca="1">IFERROR((C102/C101*100)/((COUNT(_10.08B)-1)^0.5),"")</f>
        <v/>
      </c>
      <c r="D103" s="384">
        <f ca="1">IFERROR((D102/D101*100)/((COUNT(_10Bbul)-1)^0.5),"")</f>
        <v>41.594003758032009</v>
      </c>
      <c r="E103" s="386">
        <f ca="1">IFERROR((E102/E101*100)/((COUNT(_11B)-1)^0.5),"")</f>
        <v>10.259950389697877</v>
      </c>
      <c r="F103" s="386">
        <f ca="1">IFERROR((F102/F101*100)/((COUNT(_11B)-1)^0.5),"")</f>
        <v>10.271252823059541</v>
      </c>
      <c r="G103" s="386">
        <f ca="1">IFERROR((G102/G101*100)/((COUNT(_11B)-1)^0.5),"")</f>
        <v>10.252775755096042</v>
      </c>
      <c r="H103" s="386">
        <f ca="1">IFERROR((H102/H101*100)/((COUNT(_10Bback)-1)^0.5),"")</f>
        <v>10.259954700408436</v>
      </c>
      <c r="I103" s="53"/>
      <c r="J103" s="192">
        <f ca="1">IFERROR((J102/J101*100)/((COUNT(J3:J100)-1)^0.5),"")</f>
        <v>1.5563792280576659E-2</v>
      </c>
      <c r="K103" s="192">
        <f ca="1">IFERROR((K102/K101*100)/((COUNT(K3:K100)-1)^0.5),"")</f>
        <v>1.5854838638868093E-2</v>
      </c>
      <c r="L103" s="192" t="str">
        <f>IFERROR((L102/L101*100)/((COUNT(L3:L100)-1)^0.5),"")</f>
        <v/>
      </c>
      <c r="M103" s="192" t="str">
        <f>IFERROR((M102/M101*100)/((COUNT(M3:M100)-1)^0.5),"")</f>
        <v/>
      </c>
      <c r="N103" s="271"/>
      <c r="O103" s="369" t="s">
        <v>333</v>
      </c>
      <c r="P103" s="334"/>
      <c r="Q103" s="338">
        <v>1</v>
      </c>
      <c r="R103" s="42"/>
      <c r="S103" s="59">
        <f t="shared" ref="S103:Z103" ca="1" si="135">IFERROR((S102/S101*100)/((COUNT(S2:S100)-1)^0.5),"")</f>
        <v>2.1490495635112426E-2</v>
      </c>
      <c r="T103" s="59">
        <f t="shared" ca="1" si="135"/>
        <v>1.8887632566691473E-2</v>
      </c>
      <c r="U103" s="59">
        <f t="shared" ca="1" si="135"/>
        <v>1.7590396043395035E-2</v>
      </c>
      <c r="V103" s="59">
        <f t="shared" ca="1" si="135"/>
        <v>1.6755616432040741E-2</v>
      </c>
      <c r="W103" s="59">
        <f t="shared" ca="1" si="135"/>
        <v>2.0670420402788801E-2</v>
      </c>
      <c r="X103" s="59">
        <f t="shared" ca="1" si="135"/>
        <v>1.8924371310821701E-2</v>
      </c>
      <c r="Y103" s="59">
        <f t="shared" ca="1" si="135"/>
        <v>1.711012441014783E-2</v>
      </c>
      <c r="Z103" s="460">
        <f t="shared" ca="1" si="135"/>
        <v>1.6565086932800545E-2</v>
      </c>
      <c r="AA103" s="61"/>
      <c r="AB103" s="59">
        <f t="shared" ref="AB103:AI103" ca="1" si="136">IFERROR((AB102/AB101*100)/((COUNT(AB2:AB100)-1)^0.5),"")</f>
        <v>19.863952475830118</v>
      </c>
      <c r="AC103" s="59">
        <f t="shared" ca="1" si="136"/>
        <v>0.60964210607948521</v>
      </c>
      <c r="AD103" s="59">
        <f t="shared" ca="1" si="136"/>
        <v>31.196070643150108</v>
      </c>
      <c r="AE103" s="59">
        <f t="shared" ca="1" si="136"/>
        <v>15.402285945093809</v>
      </c>
      <c r="AF103" s="59">
        <f t="shared" ca="1" si="136"/>
        <v>0.62009064602760622</v>
      </c>
      <c r="AG103" s="59">
        <f t="shared" ca="1" si="136"/>
        <v>49.63476608149697</v>
      </c>
      <c r="AH103" s="59">
        <f t="shared" ca="1" si="136"/>
        <v>0.62396984824214174</v>
      </c>
      <c r="AI103" s="460">
        <f t="shared" ca="1" si="136"/>
        <v>0.62675451080790046</v>
      </c>
      <c r="AJ103" s="53"/>
      <c r="AK103" s="53"/>
    </row>
    <row r="104" spans="1:43" s="14" customFormat="1" ht="17" thickBot="1" x14ac:dyDescent="0.2">
      <c r="A104" s="64"/>
      <c r="B104" s="65"/>
      <c r="C104" s="424">
        <v>9.9</v>
      </c>
      <c r="D104" s="62" t="s">
        <v>416</v>
      </c>
      <c r="E104" s="62">
        <v>10.199999999999999</v>
      </c>
      <c r="F104" s="745">
        <v>10.486000000000001</v>
      </c>
      <c r="G104" s="745">
        <v>10.627000000000001</v>
      </c>
      <c r="H104" s="745">
        <v>10.9</v>
      </c>
      <c r="I104" s="53" t="s">
        <v>417</v>
      </c>
      <c r="J104" s="189"/>
      <c r="K104" s="189"/>
      <c r="L104" s="190"/>
      <c r="M104" s="266"/>
      <c r="N104" s="271"/>
      <c r="O104" s="335"/>
      <c r="P104" s="336"/>
      <c r="Q104" s="337"/>
      <c r="R104" s="52"/>
      <c r="S104" s="66">
        <f t="shared" ref="S104:Z104" ca="1" si="137">IFERROR(S101+2*S102,"")</f>
        <v>4.5388336462157266</v>
      </c>
      <c r="T104" s="66">
        <f t="shared" ca="1" si="137"/>
        <v>4.535169893588054</v>
      </c>
      <c r="U104" s="66">
        <f t="shared" ca="1" si="137"/>
        <v>4.5337071022097888</v>
      </c>
      <c r="V104" s="66">
        <f t="shared" ca="1" si="137"/>
        <v>4.5329482375552139</v>
      </c>
      <c r="W104" s="66">
        <f t="shared" ca="1" si="137"/>
        <v>4.5935187629534031</v>
      </c>
      <c r="X104" s="66">
        <f t="shared" ca="1" si="137"/>
        <v>4.5909365090028178</v>
      </c>
      <c r="Y104" s="66">
        <f t="shared" ca="1" si="137"/>
        <v>4.588280479409387</v>
      </c>
      <c r="Z104" s="461">
        <f t="shared" ca="1" si="137"/>
        <v>4.5876539052757881</v>
      </c>
      <c r="AA104" s="42"/>
      <c r="AB104" s="53"/>
      <c r="AC104" s="53"/>
      <c r="AD104" s="53"/>
      <c r="AE104" s="53"/>
      <c r="AF104" s="53"/>
      <c r="AG104" s="53"/>
      <c r="AH104" s="53"/>
      <c r="AI104" s="53"/>
      <c r="AJ104" s="53"/>
      <c r="AK104" s="53"/>
    </row>
    <row r="105" spans="1:43" s="14" customFormat="1" ht="15" thickBot="1" x14ac:dyDescent="0.2">
      <c r="A105" s="64"/>
      <c r="B105" s="65"/>
      <c r="C105">
        <v>9.9</v>
      </c>
      <c r="D105" t="s">
        <v>416</v>
      </c>
      <c r="E105">
        <v>10.199999999999999</v>
      </c>
      <c r="F105">
        <v>10.477</v>
      </c>
      <c r="G105">
        <v>10.523</v>
      </c>
      <c r="H105">
        <v>10.627000000000001</v>
      </c>
      <c r="I105">
        <v>10.9</v>
      </c>
      <c r="J105" t="s">
        <v>417</v>
      </c>
      <c r="K105" s="388">
        <f ca="1">K101/Q18</f>
        <v>4.0399104033770579</v>
      </c>
      <c r="L105" s="63"/>
      <c r="M105" s="63"/>
      <c r="N105" s="271"/>
      <c r="O105" s="55"/>
      <c r="P105" s="55"/>
      <c r="Q105" s="404"/>
      <c r="R105" s="60"/>
      <c r="S105" s="69">
        <f t="shared" ref="S105:Z105" ca="1" si="138">IFERROR(S101-2*S102,"")</f>
        <v>4.5009635058091444</v>
      </c>
      <c r="T105" s="69">
        <f t="shared" ca="1" si="138"/>
        <v>4.5026020057627738</v>
      </c>
      <c r="U105" s="69">
        <f t="shared" ca="1" si="138"/>
        <v>4.5040501912103483</v>
      </c>
      <c r="V105" s="69">
        <f t="shared" ca="1" si="138"/>
        <v>4.5051889078129648</v>
      </c>
      <c r="W105" s="69">
        <f t="shared" ca="1" si="138"/>
        <v>4.5566490152929369</v>
      </c>
      <c r="X105" s="69">
        <f t="shared" ca="1" si="138"/>
        <v>4.5577239088041939</v>
      </c>
      <c r="Y105" s="69">
        <f t="shared" ca="1" si="138"/>
        <v>4.5590834446430479</v>
      </c>
      <c r="Z105" s="462">
        <f t="shared" ca="1" si="138"/>
        <v>4.5597137181003795</v>
      </c>
      <c r="AA105" s="67"/>
      <c r="AB105" s="53"/>
      <c r="AC105" s="53"/>
      <c r="AD105" s="53"/>
      <c r="AE105" s="53"/>
      <c r="AF105" s="53"/>
      <c r="AG105" s="53"/>
      <c r="AH105" s="53"/>
      <c r="AI105" s="53"/>
      <c r="AJ105" s="53"/>
      <c r="AK105" s="53"/>
    </row>
    <row r="106" spans="1:43" s="14" customFormat="1" ht="15" thickBot="1" x14ac:dyDescent="0.2">
      <c r="A106" s="68"/>
      <c r="B106" s="693" t="s">
        <v>578</v>
      </c>
      <c r="C106" s="550">
        <v>1</v>
      </c>
      <c r="D106" s="550">
        <v>1</v>
      </c>
      <c r="E106" s="550">
        <v>1</v>
      </c>
      <c r="F106" s="550">
        <v>62400000</v>
      </c>
      <c r="G106" s="550">
        <v>62400000</v>
      </c>
      <c r="H106" s="550">
        <v>62400000</v>
      </c>
      <c r="I106" s="33"/>
      <c r="J106" s="42"/>
      <c r="K106" s="42"/>
      <c r="L106" s="42"/>
      <c r="M106" s="42"/>
      <c r="N106" s="55"/>
      <c r="O106" s="55"/>
      <c r="P106" s="55"/>
      <c r="Q106" s="55"/>
      <c r="R106" s="60"/>
      <c r="S106" s="67"/>
      <c r="T106" s="67"/>
      <c r="U106" s="67"/>
      <c r="V106" s="67"/>
      <c r="W106" s="67"/>
      <c r="X106" s="67"/>
      <c r="Y106" s="42"/>
      <c r="Z106" s="42"/>
      <c r="AA106" s="67"/>
      <c r="AB106" s="53"/>
    </row>
    <row r="107" spans="1:43" s="14" customFormat="1" ht="14" x14ac:dyDescent="0.15">
      <c r="A107" s="68"/>
      <c r="B107" s="693" t="s">
        <v>578</v>
      </c>
      <c r="C107" s="270" t="s">
        <v>574</v>
      </c>
      <c r="D107" s="270" t="s">
        <v>496</v>
      </c>
      <c r="E107" s="270" t="s">
        <v>586</v>
      </c>
      <c r="F107" s="696" t="s">
        <v>393</v>
      </c>
      <c r="G107" s="696" t="s">
        <v>305</v>
      </c>
      <c r="H107" s="744" t="s">
        <v>304</v>
      </c>
      <c r="I107" s="55"/>
      <c r="J107" s="545">
        <v>4.744615099111793</v>
      </c>
      <c r="K107" s="545">
        <v>4.8494132426674641</v>
      </c>
      <c r="L107" s="42"/>
      <c r="M107" s="42"/>
      <c r="N107" s="55"/>
      <c r="O107" s="55"/>
      <c r="P107" s="55"/>
      <c r="Q107" s="55"/>
      <c r="R107" s="60"/>
      <c r="S107" s="67"/>
      <c r="T107" s="67"/>
      <c r="U107" s="67"/>
      <c r="V107" s="67"/>
      <c r="W107" s="67"/>
      <c r="X107" s="67"/>
      <c r="Y107" s="67"/>
      <c r="Z107" s="67"/>
      <c r="AA107" s="67"/>
      <c r="AB107" s="53"/>
    </row>
    <row r="108" spans="1:43" s="14" customFormat="1" ht="14" x14ac:dyDescent="0.15">
      <c r="A108" s="68"/>
      <c r="B108" s="694" t="s">
        <v>579</v>
      </c>
      <c r="C108" s="550">
        <v>62400000</v>
      </c>
      <c r="D108" s="550">
        <v>62400000</v>
      </c>
      <c r="E108" s="550">
        <v>62400000</v>
      </c>
      <c r="F108" s="550">
        <v>62400000</v>
      </c>
      <c r="G108" s="550">
        <v>62400000</v>
      </c>
      <c r="H108" s="550">
        <v>62400000</v>
      </c>
      <c r="I108" s="30"/>
      <c r="J108" s="191">
        <v>7.5047822744721479E-2</v>
      </c>
      <c r="K108" s="191">
        <v>8.078669531007536E-2</v>
      </c>
      <c r="L108" s="42"/>
      <c r="M108" s="42" t="s">
        <v>567</v>
      </c>
      <c r="N108" s="267">
        <v>30000</v>
      </c>
      <c r="O108" s="267">
        <v>1000000</v>
      </c>
      <c r="P108" s="267"/>
      <c r="Q108" s="267"/>
      <c r="R108" s="267">
        <v>5000000</v>
      </c>
      <c r="S108" s="67"/>
      <c r="T108" s="67"/>
      <c r="U108" s="67"/>
      <c r="V108" s="67"/>
      <c r="W108" s="67"/>
      <c r="X108" s="67"/>
      <c r="Y108" s="67"/>
      <c r="Z108" s="67"/>
      <c r="AA108" s="67"/>
      <c r="AB108" s="53"/>
    </row>
    <row r="109" spans="1:43" s="14" customFormat="1" ht="15" thickBot="1" x14ac:dyDescent="0.2">
      <c r="A109" s="68"/>
      <c r="B109" s="694" t="s">
        <v>579</v>
      </c>
      <c r="C109" s="270" t="s">
        <v>302</v>
      </c>
      <c r="D109" s="270" t="s">
        <v>303</v>
      </c>
      <c r="E109" s="270" t="s">
        <v>393</v>
      </c>
      <c r="F109" s="270" t="s">
        <v>304</v>
      </c>
      <c r="G109" s="696" t="s">
        <v>574</v>
      </c>
      <c r="H109" s="420" t="s">
        <v>496</v>
      </c>
      <c r="I109" s="33"/>
      <c r="J109" s="192">
        <v>0.13416205765684527</v>
      </c>
      <c r="K109" s="192">
        <v>0.14130035366865001</v>
      </c>
      <c r="L109" s="42"/>
      <c r="M109" s="42" t="s">
        <v>566</v>
      </c>
      <c r="N109" s="267">
        <v>30000</v>
      </c>
      <c r="O109" s="267">
        <v>50000</v>
      </c>
      <c r="P109" s="267"/>
      <c r="Q109" s="267"/>
      <c r="R109" s="267">
        <v>100000</v>
      </c>
      <c r="S109" s="271"/>
      <c r="T109" s="395"/>
      <c r="U109" s="3"/>
      <c r="V109" s="3"/>
      <c r="W109" s="3"/>
      <c r="X109" s="272"/>
      <c r="Y109" s="273"/>
      <c r="Z109" s="63"/>
      <c r="AA109" s="67"/>
      <c r="AB109" s="53"/>
    </row>
    <row r="110" spans="1:43" s="13" customFormat="1" ht="14" x14ac:dyDescent="0.15">
      <c r="A110" s="268"/>
      <c r="B110" s="692">
        <v>0.25600000000000001</v>
      </c>
      <c r="C110" s="550">
        <v>62400000</v>
      </c>
      <c r="D110" s="550">
        <v>62400000</v>
      </c>
      <c r="E110" s="550">
        <v>62400000</v>
      </c>
      <c r="F110" s="550">
        <v>62400000</v>
      </c>
      <c r="G110" s="550">
        <v>62400000</v>
      </c>
      <c r="H110" s="550">
        <v>62400000</v>
      </c>
      <c r="I110" s="34"/>
      <c r="J110" s="3"/>
      <c r="K110" s="3"/>
      <c r="L110" s="63"/>
      <c r="M110" s="63"/>
      <c r="N110" s="271"/>
      <c r="O110" s="63"/>
      <c r="P110" s="63"/>
      <c r="Q110" s="63"/>
      <c r="R110" s="63"/>
      <c r="S110" s="271"/>
      <c r="T110" s="395"/>
      <c r="U110" s="3"/>
      <c r="V110" s="3"/>
      <c r="W110" s="3"/>
      <c r="X110" s="63"/>
      <c r="Y110" s="63"/>
      <c r="Z110" s="63"/>
      <c r="AA110" s="63"/>
      <c r="AB110" s="53"/>
      <c r="AC110" s="14"/>
      <c r="AK110" s="14"/>
      <c r="AL110" s="14"/>
      <c r="AM110" s="14"/>
      <c r="AN110" s="14"/>
      <c r="AO110" s="14"/>
      <c r="AP110" s="14"/>
    </row>
    <row r="111" spans="1:43" s="13" customFormat="1" ht="19.5" customHeight="1" x14ac:dyDescent="0.15">
      <c r="A111" s="275" t="s">
        <v>20</v>
      </c>
      <c r="B111" s="276" t="s">
        <v>21</v>
      </c>
      <c r="C111" s="274">
        <v>9.9</v>
      </c>
      <c r="D111" s="274" t="s">
        <v>416</v>
      </c>
      <c r="E111" s="274">
        <v>10.199999999999999</v>
      </c>
      <c r="F111" s="274">
        <v>10.627000000000001</v>
      </c>
      <c r="G111" s="274" t="s">
        <v>417</v>
      </c>
      <c r="H111" s="274">
        <v>10.9</v>
      </c>
      <c r="I111" s="63"/>
      <c r="J111" s="3"/>
      <c r="K111" s="3"/>
      <c r="L111" s="267">
        <v>20000</v>
      </c>
      <c r="M111" s="267">
        <v>100000</v>
      </c>
      <c r="N111" s="267"/>
      <c r="O111" s="267"/>
      <c r="P111" s="267">
        <v>500000</v>
      </c>
      <c r="Q111" s="63"/>
      <c r="R111" s="63"/>
      <c r="S111" s="271"/>
      <c r="T111" s="395"/>
      <c r="U111" s="3"/>
      <c r="V111" s="3"/>
      <c r="W111" s="3"/>
      <c r="X111" s="42"/>
      <c r="Y111" s="54"/>
      <c r="Z111" s="54"/>
      <c r="AA111" s="63"/>
      <c r="AB111" s="53"/>
      <c r="AC111" s="14"/>
      <c r="AD111" s="14"/>
      <c r="AE111" s="14"/>
      <c r="AF111" s="14"/>
      <c r="AG111" s="14"/>
      <c r="AK111" s="14"/>
      <c r="AL111" s="14"/>
      <c r="AM111" s="14"/>
      <c r="AN111" s="14"/>
      <c r="AO111" s="14"/>
      <c r="AP111" s="14"/>
      <c r="AQ111" s="14"/>
    </row>
    <row r="112" spans="1:43" s="14" customFormat="1" ht="19" x14ac:dyDescent="0.15">
      <c r="A112" s="277">
        <v>24</v>
      </c>
      <c r="B112" s="269" t="s">
        <v>301</v>
      </c>
      <c r="C112" s="270" t="s">
        <v>302</v>
      </c>
      <c r="D112" s="270" t="s">
        <v>303</v>
      </c>
      <c r="E112" s="270" t="s">
        <v>393</v>
      </c>
      <c r="F112" s="696" t="s">
        <v>496</v>
      </c>
      <c r="G112" s="696" t="s">
        <v>586</v>
      </c>
      <c r="H112" s="744" t="s">
        <v>574</v>
      </c>
      <c r="I112" s="42"/>
      <c r="K112" s="78"/>
      <c r="L112" s="71">
        <v>9.9</v>
      </c>
      <c r="M112" s="71">
        <v>10</v>
      </c>
      <c r="N112" s="71">
        <v>10.11</v>
      </c>
      <c r="O112" s="71">
        <v>10.457000000000001</v>
      </c>
      <c r="P112" s="71" t="s">
        <v>417</v>
      </c>
      <c r="Q112" s="393">
        <v>10.63</v>
      </c>
      <c r="R112" s="78">
        <v>10.9</v>
      </c>
      <c r="S112" s="271"/>
      <c r="T112" s="395"/>
      <c r="U112" s="3"/>
      <c r="V112" s="3"/>
      <c r="W112" s="3"/>
      <c r="X112" s="42"/>
      <c r="Y112" s="33"/>
      <c r="Z112" s="33"/>
      <c r="AA112" s="54"/>
      <c r="AB112" s="53"/>
      <c r="AD112" s="14" t="s">
        <v>446</v>
      </c>
      <c r="AE112" s="14" t="s">
        <v>447</v>
      </c>
      <c r="AH112" s="14" t="s">
        <v>432</v>
      </c>
    </row>
    <row r="113" spans="1:42" s="14" customFormat="1" ht="18.75" customHeight="1" x14ac:dyDescent="0.15">
      <c r="A113" s="581">
        <v>1</v>
      </c>
      <c r="B113" s="72"/>
      <c r="C113" s="72"/>
      <c r="D113" s="72"/>
      <c r="E113" s="72"/>
      <c r="F113" s="72"/>
      <c r="G113" s="72"/>
      <c r="H113" s="72"/>
      <c r="I113" s="42">
        <v>1</v>
      </c>
      <c r="J113" s="74" t="str">
        <f>IF(K113=1,I113,"")</f>
        <v/>
      </c>
      <c r="K113" s="80"/>
      <c r="L113" s="80"/>
      <c r="M113" s="80"/>
      <c r="N113" s="80"/>
      <c r="O113" s="80"/>
      <c r="P113" s="80"/>
      <c r="Q113" s="394"/>
      <c r="R113" s="80"/>
      <c r="S113" s="53"/>
      <c r="T113" s="408"/>
      <c r="U113" s="409"/>
      <c r="V113" s="410"/>
      <c r="W113" s="411"/>
      <c r="Y113" s="55"/>
      <c r="Z113" s="45"/>
      <c r="AA113" s="33"/>
      <c r="AB113" s="53"/>
      <c r="AI113" s="14">
        <v>10.016999999999999</v>
      </c>
      <c r="AJ113" s="14">
        <f>AI114-AI113</f>
        <v>3.4000000000000696E-2</v>
      </c>
    </row>
    <row r="114" spans="1:42" s="14" customFormat="1" ht="15" customHeight="1" x14ac:dyDescent="0.2">
      <c r="A114" s="75">
        <v>0</v>
      </c>
      <c r="B114" s="76">
        <f ca="1">IFERROR(MyTime(INDEX(INDIRECT("input!"&amp;$B$112&amp;":"&amp;$B$112),FirstRowInput))* $B$110,"")</f>
        <v>3291.4808320000002</v>
      </c>
      <c r="C114" s="77">
        <f ca="1">IFERROR(AVERAGE(INDEX(INDIRECT("input!"&amp;$C$112&amp;":"&amp;$C$112),FirstRowInput):INDEX(INDIRECT("input!"&amp;$C$112&amp;":"&amp;$C$112),FirstRowInput+Integration-1))*$C$110,"")</f>
        <v>17493.349619153305</v>
      </c>
      <c r="D114" s="77">
        <f ca="1">IFERROR(AVERAGE(INDEX(INDIRECT("input!" &amp; $D$112 &amp; ":" &amp; $D$112),FirstRowInput+Integration*COUNT($B113:B$114)):INDEX(INDIRECT("input!" &amp; $D$112 &amp; ":" &amp; $D$112),FirstRowInput+Integration*COUNT($B113:B$114)+Integration-1))*$D$110,"")</f>
        <v>31777.121328819987</v>
      </c>
      <c r="E114" s="77">
        <f ca="1">IFERROR(AVERAGE(INDEX(INDIRECT("input!" &amp; $E$112 &amp; ":" &amp; $E$112),FirstRowInput):INDEX(INDIRECT("input!" &amp; $E$112 &amp; ":" &amp; $E$112),FirstRowInput+Integration-1))*$E$110,"")</f>
        <v>13419.903219635766</v>
      </c>
      <c r="F114" s="77">
        <f ca="1">IFERROR(AVERAGE(INDEX(INDIRECT("input!" &amp; $F$112 &amp; ":" &amp; $F$112),FirstRowInput):INDEX(INDIRECT("input!" &amp; $F$112 &amp; ":" &amp; $F$112),FirstRowInput+Integration-1))*$F$110,"")</f>
        <v>14859.043723294804</v>
      </c>
      <c r="G114" s="77">
        <f ca="1">IFERROR(AVERAGE(INDEX(INDIRECT("input!" &amp; $G$112 &amp; ":" &amp; $G$112),FirstRowInput):INDEX(INDIRECT("input!" &amp; $G$112 &amp; ":" &amp; $G$112),FirstRowInput+Integration-1))*$G$110,"")</f>
        <v>58248.636612675786</v>
      </c>
      <c r="H114" s="77">
        <f ca="1">IFERROR(AVERAGE(INDEX(INDIRECT("input!" &amp; $H$112 &amp; ":" &amp; $H$112),FirstRowInput):INDEX(INDIRECT("input!" &amp; $H$112 &amp; ":" &amp; $H$112),FirstRowInput+Integration-1))*$H$110,"")</f>
        <v>12760.632216809256</v>
      </c>
      <c r="I114" s="42">
        <v>2</v>
      </c>
      <c r="J114" s="74">
        <f t="shared" ref="J114:J177" ca="1" si="139">IF(K114=1,I114,"")</f>
        <v>2</v>
      </c>
      <c r="K114" s="183">
        <f ca="1">IFERROR(IF(OR(D114&gt;$M$111,G114&gt;$P$111,MAX(A114:A128)&gt;=15),"",1),"")</f>
        <v>1</v>
      </c>
      <c r="L114" s="183">
        <f ca="1">IFERROR(IF($K114=1,C114,""),"")</f>
        <v>17493.349619153305</v>
      </c>
      <c r="M114" s="183">
        <f ca="1">IFERROR(IF($K114=1,D114,""),"")</f>
        <v>31777.121328819987</v>
      </c>
      <c r="N114" s="183">
        <f ca="1">IFERROR(IF($K114=1,E114,""),"")</f>
        <v>13419.903219635766</v>
      </c>
      <c r="O114" s="183">
        <f ca="1">IFERROR(IF($K114=1,E114,""),"")</f>
        <v>13419.903219635766</v>
      </c>
      <c r="P114" s="183">
        <f ca="1">IFERROR(IF($K114=1,G114,""),"")</f>
        <v>58248.636612675786</v>
      </c>
      <c r="Q114" s="183">
        <f t="shared" ref="Q114:Q178" ca="1" si="140">IFERROR(IF($K114=1,F114,""),"")</f>
        <v>14859.043723294804</v>
      </c>
      <c r="R114" s="183">
        <f ca="1">IFERROR(IF($K114=1,H114,""),"")</f>
        <v>12760.632216809256</v>
      </c>
      <c r="S114" s="110"/>
      <c r="T114" s="412"/>
      <c r="U114" s="407" t="s">
        <v>299</v>
      </c>
      <c r="V114" s="53"/>
      <c r="W114" s="413"/>
      <c r="X114" s="75">
        <v>0</v>
      </c>
      <c r="Y114" s="67"/>
      <c r="Z114" s="32"/>
      <c r="AA114" s="42"/>
      <c r="AB114" s="53"/>
      <c r="AI114" s="14">
        <v>10.051</v>
      </c>
    </row>
    <row r="115" spans="1:42" s="14" customFormat="1" ht="15" customHeight="1" x14ac:dyDescent="0.2">
      <c r="A115" s="75">
        <v>0</v>
      </c>
      <c r="B115" s="76">
        <f ca="1">IFERROR(MyTime(INDEX(INDIRECT("input!"&amp;$B$112&amp;":"&amp;$B$112),FirstRowInput+Integration*COUNT($B$114:B114)) )* $B$110,"")</f>
        <v>3291.5486719999999</v>
      </c>
      <c r="C115" s="77">
        <f ca="1">IFERROR(AVERAGE(INDEX(INDIRECT("input!" &amp; $C$112 &amp; ":" &amp; $C$112),FirstRowInput+Integration*COUNT($B$114:B114)):INDEX(INDIRECT("input!" &amp; $C$112 &amp; ":" &amp; $C$112),FirstRowInput+Integration*COUNT($B$114:B114)+Integration-1))*$C$110,"")</f>
        <v>16811.207372096469</v>
      </c>
      <c r="D115" s="77">
        <f ca="1">IFERROR(AVERAGE(INDEX(INDIRECT("input!" &amp; $D$112 &amp; ":" &amp; $D$112),FirstRowInput+Integration*COUNT($B$114:B114)):INDEX(INDIRECT("input!" &amp; $D$112 &amp; ":" &amp; $D$112),FirstRowInput+Integration*COUNT($B$114:B114)+Integration-1))*$D$110,"")</f>
        <v>31777.121328819987</v>
      </c>
      <c r="E115" s="77">
        <f ca="1">IFERROR(AVERAGE(INDEX(INDIRECT("input!" &amp; $E$112 &amp; ":" &amp; $E$112),FirstRowInput+Integration*COUNT($B$114:B114)):INDEX(INDIRECT("input!" &amp; $E$112 &amp; ":" &amp; $E$112),FirstRowInput+Integration*COUNT($B$114:B114)+Integration-1))*$E$110,"")</f>
        <v>15825.730163222554</v>
      </c>
      <c r="F115" s="77">
        <f ca="1">IFERROR(AVERAGE(INDEX(INDIRECT("input!" &amp; $F$112 &amp; ":" &amp; $F$112),FirstRowInput+Integration*COUNT($B$114:B114)):INDEX(INDIRECT("input!" &amp; $F$112 &amp; ":" &amp; $F$112),FirstRowInput+Integration*COUNT($B$114:B114)+Integration-1))*$F$110,"")</f>
        <v>1521.4421776056297</v>
      </c>
      <c r="G115" s="77">
        <f ca="1">IFERROR(AVERAGE(INDEX(INDIRECT("input!" &amp; $G$112 &amp; ":" &amp; $G$112),FirstRowInput+Integration*COUNT($B$114:B114)):INDEX(INDIRECT("input!" &amp; $G$112 &amp; ":" &amp; $G$112),FirstRowInput+Integration*COUNT($B$114:B114)+Integration-1))*$G$110,"")</f>
        <v>68128.178096133794</v>
      </c>
      <c r="H115" s="77">
        <f ca="1">IFERROR(AVERAGE(INDEX(INDIRECT("input!" &amp; $H$112 &amp; ":" &amp; $H$112),FirstRowInput+Integration*COUNT($B$114:B114)):INDEX(INDIRECT("input!" &amp; $H$112 &amp; ":" &amp; $H$112),FirstRowInput+Integration*COUNT($B$114:B114)+Integration-1))*$H$110,"")</f>
        <v>-702.91350032838477</v>
      </c>
      <c r="I115" s="42">
        <v>3</v>
      </c>
      <c r="J115" s="74">
        <f t="shared" ca="1" si="139"/>
        <v>3</v>
      </c>
      <c r="K115" s="183">
        <f t="shared" ref="K115:K123" ca="1" si="141">IFERROR(IF(OR(D115&gt;$M$111,G115&gt;$P$111,MAX(A115:A129)&gt;=15),"",1),"")</f>
        <v>1</v>
      </c>
      <c r="L115" s="183">
        <f t="shared" ref="L115:L135" ca="1" si="142">IFERROR(IF($K115=1,C115,""),"")</f>
        <v>16811.207372096469</v>
      </c>
      <c r="M115" s="183">
        <f ca="1">IFERROR(IF($K115=1,D115,""),"")</f>
        <v>31777.121328819987</v>
      </c>
      <c r="N115" s="183">
        <f ca="1">IFERROR(IF($K115=1,E115,""),"")</f>
        <v>15825.730163222554</v>
      </c>
      <c r="O115" s="183">
        <f t="shared" ref="O115:O178" ca="1" si="143">IFERROR(IF($K115=1,E115,""),"")</f>
        <v>15825.730163222554</v>
      </c>
      <c r="P115" s="183">
        <f t="shared" ref="P115:P135" ca="1" si="144">IFERROR(IF($K115=1,G115,""),"")</f>
        <v>68128.178096133794</v>
      </c>
      <c r="Q115" s="183">
        <f t="shared" ca="1" si="140"/>
        <v>1521.4421776056297</v>
      </c>
      <c r="R115" s="183">
        <f t="shared" ref="R115:R178" ca="1" si="145">IFERROR(IF($K115=1,H115,""),"")</f>
        <v>-702.91350032838477</v>
      </c>
      <c r="S115" s="110"/>
      <c r="T115" s="412"/>
      <c r="U115" s="32"/>
      <c r="V115" s="32"/>
      <c r="W115" s="414"/>
      <c r="X115" s="75">
        <f ca="1">IFERROR(IF(AND(MAX($A$114:X114)&gt;X114+1, MAX($A$114:X114)&gt;20),0,IF(AND(AA115="",P4=""),0,IF(OR(AA115&gt;LimitSignB10, P4&gt;LimitSignB11),X114+1,0))),"")</f>
        <v>0</v>
      </c>
      <c r="Y115" s="330"/>
      <c r="Z115" s="329"/>
      <c r="AA115" s="32"/>
      <c r="AB115" s="53"/>
      <c r="AI115" s="14">
        <v>10.074</v>
      </c>
      <c r="AJ115" s="14">
        <f>AI114-AI115</f>
        <v>-2.2999999999999687E-2</v>
      </c>
    </row>
    <row r="116" spans="1:42" s="14" customFormat="1" ht="15" customHeight="1" x14ac:dyDescent="0.2">
      <c r="A116" s="75">
        <v>0</v>
      </c>
      <c r="B116" s="76">
        <f ca="1">IFERROR(MyTime(INDEX(INDIRECT("input!"&amp;$B$112&amp;":"&amp;$B$112),FirstRowInput+Integration*COUNT($B$114:B115)) )* $B$110,"")</f>
        <v>3291.6167680000003</v>
      </c>
      <c r="C116" s="77">
        <f ca="1">IFERROR(AVERAGE(INDEX(INDIRECT("input!" &amp; $C$112 &amp; ":" &amp; $C$112),FirstRowInput+Integration*COUNT($B$114:B115)):INDEX(INDIRECT("input!" &amp; $C$112 &amp; ":" &amp; $C$112),FirstRowInput+Integration*COUNT($B$114:B115)+Integration-1))*$C$110,"")</f>
        <v>18680.323464328096</v>
      </c>
      <c r="D116" s="77">
        <f ca="1">IFERROR(AVERAGE(INDEX(INDIRECT("input!" &amp; $D$112 &amp; ":" &amp; $D$112),FirstRowInput+Integration*COUNT($B$114:B115)):INDEX(INDIRECT("input!" &amp; $D$112 &amp; ":" &amp; $D$112),FirstRowInput+Integration*COUNT($B$114:B115)+Integration-1))*$D$110,"")</f>
        <v>32700.551879268871</v>
      </c>
      <c r="E116" s="77">
        <f ca="1">IFERROR(AVERAGE(INDEX(INDIRECT("input!" &amp; $E$112 &amp; ":" &amp; $E$112),FirstRowInput+Integration*COUNT($B$114:B115)):INDEX(INDIRECT("input!" &amp; $E$112 &amp; ":" &amp; $E$112),FirstRowInput+Integration*COUNT($B$114:B115)+Integration-1))*$E$110,"")</f>
        <v>18851.287296266193</v>
      </c>
      <c r="F116" s="77">
        <f ca="1">IFERROR(AVERAGE(INDEX(INDIRECT("input!" &amp; $F$112 &amp; ":" &amp; $F$112),FirstRowInput+Integration*COUNT($B$114:B115)):INDEX(INDIRECT("input!" &amp; $F$112 &amp; ":" &amp; $F$112),FirstRowInput+Integration*COUNT($B$114:B115)+Integration-1))*$F$110,"")</f>
        <v>7772.3960073379149</v>
      </c>
      <c r="G116" s="77">
        <f ca="1">IFERROR(AVERAGE(INDEX(INDIRECT("input!" &amp; $G$112 &amp; ":" &amp; $G$112),FirstRowInput+Integration*COUNT($B$114:B115)):INDEX(INDIRECT("input!" &amp; $G$112 &amp; ":" &amp; $G$112),FirstRowInput+Integration*COUNT($B$114:B115)+Integration-1))*$G$110,"")</f>
        <v>64709.172393255314</v>
      </c>
      <c r="H116" s="77">
        <f ca="1">IFERROR(AVERAGE(INDEX(INDIRECT("input!" &amp; $H$112 &amp; ":" &amp; $H$112),FirstRowInput+Integration*COUNT($B$114:B115)):INDEX(INDIRECT("input!" &amp; $H$112 &amp; ":" &amp; $H$112),FirstRowInput+Integration*COUNT($B$114:B115)+Integration-1))*$H$110,"")</f>
        <v>6545.15201356536</v>
      </c>
      <c r="I116" s="42">
        <v>4</v>
      </c>
      <c r="J116" s="74">
        <f t="shared" ca="1" si="139"/>
        <v>4</v>
      </c>
      <c r="K116" s="183">
        <f t="shared" ca="1" si="141"/>
        <v>1</v>
      </c>
      <c r="L116" s="183">
        <f t="shared" ca="1" si="142"/>
        <v>18680.323464328096</v>
      </c>
      <c r="M116" s="183">
        <f t="shared" ref="M116:M135" ca="1" si="146">IFERROR(IF($K116=1,D116,""),"")</f>
        <v>32700.551879268871</v>
      </c>
      <c r="N116" s="183">
        <f t="shared" ref="N116:N135" ca="1" si="147">IFERROR(IF($K116=1,E116,""),"")</f>
        <v>18851.287296266193</v>
      </c>
      <c r="O116" s="183">
        <f t="shared" ca="1" si="143"/>
        <v>18851.287296266193</v>
      </c>
      <c r="P116" s="183">
        <f t="shared" ca="1" si="144"/>
        <v>64709.172393255314</v>
      </c>
      <c r="Q116" s="183">
        <f t="shared" ca="1" si="140"/>
        <v>7772.3960073379149</v>
      </c>
      <c r="R116" s="183">
        <f t="shared" ca="1" si="145"/>
        <v>6545.15201356536</v>
      </c>
      <c r="S116" s="110"/>
      <c r="T116" s="412"/>
      <c r="U116" s="36" t="s">
        <v>416</v>
      </c>
      <c r="V116" s="62" t="s">
        <v>417</v>
      </c>
      <c r="W116" s="415"/>
      <c r="X116" s="75">
        <f ca="1">IFERROR(IF(AND(MAX($A$114:X115)&gt;X115+1, MAX($A$114:X115)&gt;20),0,IF(AND(AA116="",AD116=""),0,IF(OR(AA116&gt;LimitSignB10, AD116&gt;LimitSignB11),X115+1,0))),"")</f>
        <v>0</v>
      </c>
      <c r="Y116" s="405"/>
      <c r="Z116" s="406"/>
      <c r="AA116" s="32"/>
      <c r="AB116" s="53"/>
    </row>
    <row r="117" spans="1:42" s="14" customFormat="1" ht="15" customHeight="1" x14ac:dyDescent="0.15">
      <c r="A117" s="75">
        <v>0</v>
      </c>
      <c r="B117" s="76">
        <f ca="1">IFERROR(MyTime(INDEX(INDIRECT("input!"&amp;$B$112&amp;":"&amp;$B$112),FirstRowInput+Integration*COUNT($B$114:B116)) )* $B$110,"")</f>
        <v>3291.6848640000003</v>
      </c>
      <c r="C117" s="77">
        <f ca="1">IFERROR(AVERAGE(INDEX(INDIRECT("input!" &amp; $C$112 &amp; ":" &amp; $C$112),FirstRowInput+Integration*COUNT($B$114:B116)):INDEX(INDIRECT("input!" &amp; $C$112 &amp; ":" &amp; $C$112),FirstRowInput+Integration*COUNT($B$114:B116)+Integration-1))*$C$110,"")</f>
        <v>18993.185604909733</v>
      </c>
      <c r="D117" s="77">
        <f ca="1">IFERROR(AVERAGE(INDEX(INDIRECT("input!" &amp; $D$112 &amp; ":" &amp; $D$112),FirstRowInput+Integration*COUNT($B$114:B116)):INDEX(INDIRECT("input!" &amp; $D$112 &amp; ":" &amp; $D$112),FirstRowInput+Integration*COUNT($B$114:B116)+Integration-1))*$D$110,"")</f>
        <v>33297.442802201884</v>
      </c>
      <c r="E117" s="77">
        <f ca="1">IFERROR(AVERAGE(INDEX(INDIRECT("input!" &amp; $E$112 &amp; ":" &amp; $E$112),FirstRowInput+Integration*COUNT($B$114:B116)):INDEX(INDIRECT("input!" &amp; $E$112 &amp; ":" &amp; $E$112),FirstRowInput+Integration*COUNT($B$114:B116)+Integration-1))*$E$110,"")</f>
        <v>18239.328972163603</v>
      </c>
      <c r="F117" s="77">
        <f ca="1">IFERROR(AVERAGE(INDEX(INDIRECT("input!" &amp; $F$112 &amp; ":" &amp; $F$112),FirstRowInput+Integration*COUNT($B$114:B116)):INDEX(INDIRECT("input!" &amp; $F$112 &amp; ":" &amp; $F$112),FirstRowInput+Integration*COUNT($B$114:B116)+Integration-1))*$F$110,"")</f>
        <v>12982.249689135355</v>
      </c>
      <c r="G117" s="77">
        <f ca="1">IFERROR(AVERAGE(INDEX(INDIRECT("input!" &amp; $G$112 &amp; ":" &amp; $G$112),FirstRowInput+Integration*COUNT($B$114:B116)):INDEX(INDIRECT("input!" &amp; $G$112 &amp; ":" &amp; $G$112),FirstRowInput+Integration*COUNT($B$114:B116)+Integration-1))*$G$110,"")</f>
        <v>67312.709746295513</v>
      </c>
      <c r="H117" s="77">
        <f ca="1">IFERROR(AVERAGE(INDEX(INDIRECT("input!" &amp; $H$112 &amp; ":" &amp; $H$112),FirstRowInput+Integration*COUNT($B$114:B116)):INDEX(INDIRECT("input!" &amp; $H$112 &amp; ":" &amp; $H$112),FirstRowInput+Integration*COUNT($B$114:B116)+Integration-1))*$H$110,"")</f>
        <v>19506.74196477134</v>
      </c>
      <c r="I117" s="42">
        <v>5</v>
      </c>
      <c r="J117" s="74">
        <f t="shared" ca="1" si="139"/>
        <v>5</v>
      </c>
      <c r="K117" s="183">
        <f t="shared" ca="1" si="141"/>
        <v>1</v>
      </c>
      <c r="L117" s="183">
        <f t="shared" ca="1" si="142"/>
        <v>18993.185604909733</v>
      </c>
      <c r="M117" s="183">
        <f t="shared" ca="1" si="146"/>
        <v>33297.442802201884</v>
      </c>
      <c r="N117" s="183">
        <f t="shared" ca="1" si="147"/>
        <v>18239.328972163603</v>
      </c>
      <c r="O117" s="183">
        <f t="shared" ca="1" si="143"/>
        <v>18239.328972163603</v>
      </c>
      <c r="P117" s="183">
        <f t="shared" ca="1" si="144"/>
        <v>67312.709746295513</v>
      </c>
      <c r="Q117" s="183">
        <f t="shared" ca="1" si="140"/>
        <v>12982.249689135355</v>
      </c>
      <c r="R117" s="183">
        <f t="shared" ca="1" si="145"/>
        <v>19506.74196477134</v>
      </c>
      <c r="S117" s="110"/>
      <c r="T117" s="412"/>
      <c r="U117" s="444"/>
      <c r="V117" s="444"/>
      <c r="W117" s="415"/>
      <c r="X117" s="75">
        <f ca="1">IFERROR(IF(AND(MAX($A$114:X116)&gt;X116+1, MAX($A$114:X116)&gt;20),0,IF(AND(AA117="",AD117=""),0,IF(OR(AA117&gt;LimitSignB10, AD117&gt;LimitSignB11),X116+1,0))),"")</f>
        <v>0</v>
      </c>
      <c r="Y117" s="53"/>
      <c r="Z117" s="53"/>
      <c r="AA117" s="32"/>
      <c r="AB117" s="53"/>
      <c r="AI117" s="14" t="s">
        <v>433</v>
      </c>
    </row>
    <row r="118" spans="1:42" s="22" customFormat="1" ht="15" customHeight="1" x14ac:dyDescent="0.15">
      <c r="A118" s="75">
        <v>0</v>
      </c>
      <c r="B118" s="76">
        <f ca="1">IFERROR(MyTime(INDEX(INDIRECT("input!"&amp;$B$112&amp;":"&amp;$B$112),FirstRowInput+Integration*COUNT($B$114:B117)) )* $B$110,"")</f>
        <v>3291.7529600000003</v>
      </c>
      <c r="C118" s="77">
        <f ca="1">IFERROR(AVERAGE(INDEX(INDIRECT("input!" &amp; $C$112 &amp; ":" &amp; $C$112),FirstRowInput+Integration*COUNT($B$114:B117)):INDEX(INDIRECT("input!" &amp; $C$112 &amp; ":" &amp; $C$112),FirstRowInput+Integration*COUNT($B$114:B117)+Integration-1))*$C$110,"")</f>
        <v>20291.399194009005</v>
      </c>
      <c r="D118" s="77">
        <f ca="1">IFERROR(AVERAGE(INDEX(INDIRECT("input!" &amp; $D$112 &amp; ":" &amp; $D$112),FirstRowInput+Integration*COUNT($B$114:B117)):INDEX(INDIRECT("input!" &amp; $D$112 &amp; ":" &amp; $D$112),FirstRowInput+Integration*COUNT($B$114:B117)+Integration-1))*$D$110,"")</f>
        <v>32479.373104203605</v>
      </c>
      <c r="E118" s="77">
        <f ca="1">IFERROR(AVERAGE(INDEX(INDIRECT("input!" &amp; $E$112 &amp; ":" &amp; $E$112),FirstRowInput+Integration*COUNT($B$114:B117)):INDEX(INDIRECT("input!" &amp; $E$112 &amp; ":" &amp; $E$112),FirstRowInput+Integration*COUNT($B$114:B117)+Integration-1))*$E$110,"")</f>
        <v>17263.396777228492</v>
      </c>
      <c r="F118" s="77">
        <f ca="1">IFERROR(AVERAGE(INDEX(INDIRECT("input!" &amp; $F$112 &amp; ":" &amp; $F$112),FirstRowInput+Integration*COUNT($B$114:B117)):INDEX(INDIRECT("input!" &amp; $F$112 &amp; ":" &amp; $F$112),FirstRowInput+Integration*COUNT($B$114:B117)+Integration-1))*$F$110,"")</f>
        <v>10947.974821400012</v>
      </c>
      <c r="G118" s="77">
        <f ca="1">IFERROR(AVERAGE(INDEX(INDIRECT("input!" &amp; $G$112 &amp; ":" &amp; $G$112),FirstRowInput+Integration*COUNT($B$114:B117)):INDEX(INDIRECT("input!" &amp; $G$112 &amp; ":" &amp; $G$112),FirstRowInput+Integration*COUNT($B$114:B117)+Integration-1))*$G$110,"")</f>
        <v>69680.789761169814</v>
      </c>
      <c r="H118" s="77">
        <f ca="1">IFERROR(AVERAGE(INDEX(INDIRECT("input!" &amp; $H$112 &amp; ":" &amp; $H$112),FirstRowInput+Integration*COUNT($B$114:B117)):INDEX(INDIRECT("input!" &amp; $H$112 &amp; ":" &amp; $H$112),FirstRowInput+Integration*COUNT($B$114:B117)+Integration-1))*$H$110,"")</f>
        <v>15002.713548523647</v>
      </c>
      <c r="I118" s="42">
        <v>6</v>
      </c>
      <c r="J118" s="74">
        <f t="shared" ca="1" si="139"/>
        <v>6</v>
      </c>
      <c r="K118" s="183">
        <f t="shared" ca="1" si="141"/>
        <v>1</v>
      </c>
      <c r="L118" s="183">
        <f t="shared" ca="1" si="142"/>
        <v>20291.399194009005</v>
      </c>
      <c r="M118" s="183">
        <f t="shared" ca="1" si="146"/>
        <v>32479.373104203605</v>
      </c>
      <c r="N118" s="183">
        <f t="shared" ca="1" si="147"/>
        <v>17263.396777228492</v>
      </c>
      <c r="O118" s="183">
        <f t="shared" ca="1" si="143"/>
        <v>17263.396777228492</v>
      </c>
      <c r="P118" s="183">
        <f t="shared" ca="1" si="144"/>
        <v>69680.789761169814</v>
      </c>
      <c r="Q118" s="183">
        <f t="shared" ca="1" si="140"/>
        <v>10947.974821400012</v>
      </c>
      <c r="R118" s="183">
        <f t="shared" ca="1" si="145"/>
        <v>15002.713548523647</v>
      </c>
      <c r="S118" s="110"/>
      <c r="T118" s="412"/>
      <c r="U118" s="280">
        <v>200000</v>
      </c>
      <c r="V118" s="280">
        <v>200000</v>
      </c>
      <c r="W118" s="415"/>
      <c r="X118" s="75">
        <f ca="1">IFERROR(IF(AND(MAX($A$114:X117)&gt;X117+1, MAX($A$114:X117)&gt;20),0,IF(AND(AA118="",AD118=""),0,IF(OR(AA118&gt;LimitSignB10, AD118&gt;LimitSignB11),X117+1,0))),"")</f>
        <v>0</v>
      </c>
      <c r="Y118" s="109"/>
      <c r="Z118" s="109"/>
      <c r="AA118" s="32"/>
      <c r="AB118" s="53"/>
      <c r="AC118" s="14"/>
      <c r="AD118" s="14"/>
      <c r="AE118" s="14"/>
      <c r="AF118" s="14"/>
      <c r="AG118" s="14"/>
      <c r="AH118" s="14"/>
      <c r="AI118" s="14"/>
      <c r="AJ118" s="14"/>
      <c r="AK118" s="14"/>
      <c r="AL118" s="14"/>
      <c r="AM118" s="14"/>
      <c r="AN118" s="14"/>
      <c r="AO118" s="14"/>
      <c r="AP118" s="14"/>
    </row>
    <row r="119" spans="1:42" s="81" customFormat="1" ht="15" customHeight="1" x14ac:dyDescent="0.15">
      <c r="A119" s="75">
        <v>0</v>
      </c>
      <c r="B119" s="76">
        <f ca="1">IFERROR(MyTime(INDEX(INDIRECT("input!"&amp;$B$112&amp;":"&amp;$B$112),FirstRowInput+Integration*COUNT($B$114:B118)) )* $B$110,"")</f>
        <v>3291.8210559999998</v>
      </c>
      <c r="C119" s="77">
        <f ca="1">IFERROR(AVERAGE(INDEX(INDIRECT("input!" &amp; $C$112 &amp; ":" &amp; $C$112),FirstRowInput+Integration*COUNT($B$114:B118)):INDEX(INDIRECT("input!" &amp; $C$112 &amp; ":" &amp; $C$112),FirstRowInput+Integration*COUNT($B$114:B118)+Integration-1))*$C$110,"")</f>
        <v>19300.664744389891</v>
      </c>
      <c r="D119" s="77">
        <f ca="1">IFERROR(AVERAGE(INDEX(INDIRECT("input!" &amp; $D$112 &amp; ":" &amp; $D$112),FirstRowInput+Integration*COUNT($B$114:B118)):INDEX(INDIRECT("input!" &amp; $D$112 &amp; ":" &amp; $D$112),FirstRowInput+Integration*COUNT($B$114:B118)+Integration-1))*$D$110,"")</f>
        <v>31210.785620966202</v>
      </c>
      <c r="E119" s="77">
        <f ca="1">IFERROR(AVERAGE(INDEX(INDIRECT("input!" &amp; $E$112 &amp; ":" &amp; $E$112),FirstRowInput+Integration*COUNT($B$114:B118)):INDEX(INDIRECT("input!" &amp; $E$112 &amp; ":" &amp; $E$112),FirstRowInput+Integration*COUNT($B$114:B118)+Integration-1))*$E$110,"")</f>
        <v>20113.443689217591</v>
      </c>
      <c r="F119" s="77">
        <f ca="1">IFERROR(AVERAGE(INDEX(INDIRECT("input!" &amp; $F$112 &amp; ":" &amp; $F$112),FirstRowInput+Integration*COUNT($B$114:B118)):INDEX(INDIRECT("input!" &amp; $F$112 &amp; ":" &amp; $F$112),FirstRowInput+Integration*COUNT($B$114:B118)+Integration-1))*$F$110,"")</f>
        <v>18932.84601706855</v>
      </c>
      <c r="G119" s="77">
        <f ca="1">IFERROR(AVERAGE(INDEX(INDIRECT("input!" &amp; $G$112 &amp; ":" &amp; $G$112),FirstRowInput+Integration*COUNT($B$114:B118)):INDEX(INDIRECT("input!" &amp; $G$112 &amp; ":" &amp; $G$112),FirstRowInput+Integration*COUNT($B$114:B118)+Integration-1))*$G$110,"")</f>
        <v>65310.905675424241</v>
      </c>
      <c r="H119" s="77">
        <f ca="1">IFERROR(AVERAGE(INDEX(INDIRECT("input!" &amp; $H$112 &amp; ":" &amp; $H$112),FirstRowInput+Integration*COUNT($B$114:B118)):INDEX(INDIRECT("input!" &amp; $H$112 &amp; ":" &amp; $H$112),FirstRowInput+Integration*COUNT($B$114:B118)+Integration-1))*$H$110,"")</f>
        <v>9143.0664851000602</v>
      </c>
      <c r="I119" s="42">
        <v>7</v>
      </c>
      <c r="J119" s="74">
        <f t="shared" ca="1" si="139"/>
        <v>7</v>
      </c>
      <c r="K119" s="183">
        <f t="shared" ca="1" si="141"/>
        <v>1</v>
      </c>
      <c r="L119" s="183">
        <f t="shared" ca="1" si="142"/>
        <v>19300.664744389891</v>
      </c>
      <c r="M119" s="183">
        <f t="shared" ca="1" si="146"/>
        <v>31210.785620966202</v>
      </c>
      <c r="N119" s="183">
        <f t="shared" ca="1" si="147"/>
        <v>20113.443689217591</v>
      </c>
      <c r="O119" s="183">
        <f t="shared" ca="1" si="143"/>
        <v>20113.443689217591</v>
      </c>
      <c r="P119" s="183">
        <f t="shared" ca="1" si="144"/>
        <v>65310.905675424241</v>
      </c>
      <c r="Q119" s="183">
        <f t="shared" ca="1" si="140"/>
        <v>18932.84601706855</v>
      </c>
      <c r="R119" s="183">
        <f t="shared" ca="1" si="145"/>
        <v>9143.0664851000602</v>
      </c>
      <c r="S119" s="110"/>
      <c r="T119" s="412"/>
      <c r="U119" s="32"/>
      <c r="V119" s="341">
        <v>4</v>
      </c>
      <c r="W119" s="415"/>
      <c r="X119" s="75">
        <f ca="1">IFERROR(IF(AND(MAX($A$114:X118)&gt;X118+1, MAX($A$114:X118)&gt;20),0,IF(AND(AA119="",AD119=""),0,IF(OR(AA119&gt;LimitSignB10, AD119&gt;LimitSignB11),X118+1,0))),"")</f>
        <v>0</v>
      </c>
      <c r="Y119" s="108"/>
      <c r="Z119" s="108"/>
      <c r="AA119" s="32"/>
      <c r="AB119" s="53"/>
      <c r="AC119" s="14"/>
      <c r="AD119" s="14"/>
      <c r="AE119" s="14"/>
      <c r="AF119" s="14"/>
      <c r="AG119" s="14" t="s">
        <v>434</v>
      </c>
      <c r="AH119" s="14">
        <f>10.0129</f>
        <v>10.0129</v>
      </c>
      <c r="AI119" s="14">
        <v>10.07</v>
      </c>
      <c r="AJ119" s="14">
        <f>AI119-AH119</f>
        <v>5.7100000000000151E-2</v>
      </c>
      <c r="AK119" s="14"/>
      <c r="AL119" s="14"/>
      <c r="AM119" s="14"/>
      <c r="AN119" s="14"/>
      <c r="AO119" s="14"/>
      <c r="AP119" s="14"/>
    </row>
    <row r="120" spans="1:42" s="81" customFormat="1" ht="15" customHeight="1" x14ac:dyDescent="0.2">
      <c r="A120" s="75">
        <v>0</v>
      </c>
      <c r="B120" s="76">
        <f ca="1">IFERROR(MyTime(INDEX(INDIRECT("input!"&amp;$B$112&amp;":"&amp;$B$112),FirstRowInput+Integration*COUNT($B$114:B119)) )* $B$110,"")</f>
        <v>3291.8891519999997</v>
      </c>
      <c r="C120" s="77">
        <f ca="1">IFERROR(AVERAGE(INDEX(INDIRECT("input!" &amp; $C$112 &amp; ":" &amp; $C$112),FirstRowInput+Integration*COUNT($B$114:B119)):INDEX(INDIRECT("input!" &amp; $C$112 &amp; ":" &amp; $C$112),FirstRowInput+Integration*COUNT($B$114:B119)+Integration-1))*$C$110,"")</f>
        <v>19209.73231340068</v>
      </c>
      <c r="D120" s="77">
        <f ca="1">IFERROR(AVERAGE(INDEX(INDIRECT("input!" &amp; $D$112 &amp; ":" &amp; $D$112),FirstRowInput+Integration*COUNT($B$114:B119)):INDEX(INDIRECT("input!" &amp; $D$112 &amp; ":" &amp; $D$112),FirstRowInput+Integration*COUNT($B$114:B119)+Integration-1))*$D$110,"")</f>
        <v>28793.916092579915</v>
      </c>
      <c r="E120" s="77">
        <f ca="1">IFERROR(AVERAGE(INDEX(INDIRECT("input!" &amp; $E$112 &amp; ":" &amp; $E$112),FirstRowInput+Integration*COUNT($B$114:B119)):INDEX(INDIRECT("input!" &amp; $E$112 &amp; ":" &amp; $E$112),FirstRowInput+Integration*COUNT($B$114:B119)+Integration-1))*$E$110,"")</f>
        <v>17183.737901344371</v>
      </c>
      <c r="F120" s="77">
        <f ca="1">IFERROR(AVERAGE(INDEX(INDIRECT("input!" &amp; $F$112 &amp; ":" &amp; $F$112),FirstRowInput+Integration*COUNT($B$114:B119)):INDEX(INDIRECT("input!" &amp; $F$112 &amp; ":" &amp; $F$112),FirstRowInput+Integration*COUNT($B$114:B119)+Integration-1))*$F$110,"")</f>
        <v>6628.3305232604926</v>
      </c>
      <c r="G120" s="77">
        <f ca="1">IFERROR(AVERAGE(INDEX(INDIRECT("input!" &amp; $G$112 &amp; ":" &amp; $G$112),FirstRowInput+Integration*COUNT($B$114:B119)):INDEX(INDIRECT("input!" &amp; $G$112 &amp; ":" &amp; $G$112),FirstRowInput+Integration*COUNT($B$114:B119)+Integration-1))*$G$110,"")</f>
        <v>69944.07236382259</v>
      </c>
      <c r="H120" s="77">
        <f ca="1">IFERROR(AVERAGE(INDEX(INDIRECT("input!" &amp; $H$112 &amp; ":" &amp; $H$112),FirstRowInput+Integration*COUNT($B$114:B119)):INDEX(INDIRECT("input!" &amp; $H$112 &amp; ":" &amp; $H$112),FirstRowInput+Integration*COUNT($B$114:B119)+Integration-1))*$H$110,"")</f>
        <v>13975.000398490434</v>
      </c>
      <c r="I120" s="42">
        <v>8</v>
      </c>
      <c r="J120" s="74">
        <f t="shared" ca="1" si="139"/>
        <v>8</v>
      </c>
      <c r="K120" s="183">
        <f t="shared" ca="1" si="141"/>
        <v>1</v>
      </c>
      <c r="L120" s="183">
        <f t="shared" ca="1" si="142"/>
        <v>19209.73231340068</v>
      </c>
      <c r="M120" s="183">
        <f t="shared" ca="1" si="146"/>
        <v>28793.916092579915</v>
      </c>
      <c r="N120" s="183">
        <f t="shared" ca="1" si="147"/>
        <v>17183.737901344371</v>
      </c>
      <c r="O120" s="183">
        <f t="shared" ca="1" si="143"/>
        <v>17183.737901344371</v>
      </c>
      <c r="P120" s="183">
        <f t="shared" ca="1" si="144"/>
        <v>69944.07236382259</v>
      </c>
      <c r="Q120" s="183">
        <f t="shared" ca="1" si="140"/>
        <v>6628.3305232604926</v>
      </c>
      <c r="R120" s="183">
        <f t="shared" ca="1" si="145"/>
        <v>13975.000398490434</v>
      </c>
      <c r="S120" s="110"/>
      <c r="T120" s="412"/>
      <c r="U120" s="33"/>
      <c r="V120" s="33"/>
      <c r="W120" s="416"/>
      <c r="X120" s="75">
        <f ca="1">IFERROR(IF(AND(MAX($A$114:X119)&gt;X119+1, MAX($A$114:X119)&gt;20),0,IF(AND(AA120="",AD120=""),0,IF(OR(AA120&gt;LimitSignB10, AD120&gt;LimitSignB11),X119+1,0))),"")</f>
        <v>0</v>
      </c>
      <c r="Y120" s="405"/>
      <c r="Z120" s="406"/>
      <c r="AA120" s="32"/>
      <c r="AB120" s="53"/>
      <c r="AC120" s="14"/>
      <c r="AD120" s="14"/>
      <c r="AE120" s="14"/>
      <c r="AF120" s="14"/>
      <c r="AG120" s="13" t="s">
        <v>435</v>
      </c>
      <c r="AH120" s="438">
        <f>AI120-AJ119</f>
        <v>10.0319</v>
      </c>
      <c r="AI120" s="14">
        <v>10.089</v>
      </c>
      <c r="AJ120" s="14"/>
      <c r="AK120" s="14"/>
      <c r="AL120" s="14"/>
      <c r="AM120" s="14"/>
      <c r="AN120" s="14"/>
      <c r="AO120" s="14"/>
      <c r="AP120" s="14"/>
    </row>
    <row r="121" spans="1:42" s="81" customFormat="1" ht="15" customHeight="1" x14ac:dyDescent="0.2">
      <c r="A121" s="75">
        <v>0</v>
      </c>
      <c r="B121" s="76">
        <f ca="1">IFERROR(MyTime(INDEX(INDIRECT("input!"&amp;$B$112&amp;":"&amp;$B$112),FirstRowInput+Integration*COUNT($B$114:B120)) )* $B$110,"")</f>
        <v>3291.9569920000004</v>
      </c>
      <c r="C121" s="77">
        <f ca="1">IFERROR(AVERAGE(INDEX(INDIRECT("input!" &amp; $C$112 &amp; ":" &amp; $C$112),FirstRowInput+Integration*COUNT($B$114:B120)):INDEX(INDIRECT("input!" &amp; $C$112 &amp; ":" &amp; $C$112),FirstRowInput+Integration*COUNT($B$114:B120)+Integration-1))*$C$110,"")</f>
        <v>17892.985354458615</v>
      </c>
      <c r="D121" s="77">
        <f ca="1">IFERROR(AVERAGE(INDEX(INDIRECT("input!" &amp; $D$112 &amp; ":" &amp; $D$112),FirstRowInput+Integration*COUNT($B$114:B120)):INDEX(INDIRECT("input!" &amp; $D$112 &amp; ":" &amp; $D$112),FirstRowInput+Integration*COUNT($B$114:B120)+Integration-1))*$D$110,"")</f>
        <v>33066.722554673681</v>
      </c>
      <c r="E121" s="77">
        <f ca="1">IFERROR(AVERAGE(INDEX(INDIRECT("input!" &amp; $E$112 &amp; ":" &amp; $E$112),FirstRowInput+Integration*COUNT($B$114:B120)):INDEX(INDIRECT("input!" &amp; $E$112 &amp; ":" &amp; $E$112),FirstRowInput+Integration*COUNT($B$114:B120)+Integration-1))*$E$110,"")</f>
        <v>19126.695946310534</v>
      </c>
      <c r="F121" s="77">
        <f ca="1">IFERROR(AVERAGE(INDEX(INDIRECT("input!" &amp; $F$112 &amp; ":" &amp; $F$112),FirstRowInput+Integration*COUNT($B$114:B120)):INDEX(INDIRECT("input!" &amp; $F$112 &amp; ":" &amp; $F$112),FirstRowInput+Integration*COUNT($B$114:B120)+Integration-1))*$F$110,"")</f>
        <v>2111.6052084003677</v>
      </c>
      <c r="G121" s="77">
        <f ca="1">IFERROR(AVERAGE(INDEX(INDIRECT("input!" &amp; $G$112 &amp; ":" &amp; $G$112),FirstRowInput+Integration*COUNT($B$114:B120)):INDEX(INDIRECT("input!" &amp; $G$112 &amp; ":" &amp; $G$112),FirstRowInput+Integration*COUNT($B$114:B120)+Integration-1))*$G$110,"")</f>
        <v>69655.215781662569</v>
      </c>
      <c r="H121" s="77">
        <f ca="1">IFERROR(AVERAGE(INDEX(INDIRECT("input!" &amp; $H$112 &amp; ":" &amp; $H$112),FirstRowInput+Integration*COUNT($B$114:B120)):INDEX(INDIRECT("input!" &amp; $H$112 &amp; ":" &amp; $H$112),FirstRowInput+Integration*COUNT($B$114:B120)+Integration-1))*$H$110,"")</f>
        <v>13487.166907813373</v>
      </c>
      <c r="I121" s="42">
        <v>9</v>
      </c>
      <c r="J121" s="74">
        <f t="shared" ca="1" si="139"/>
        <v>9</v>
      </c>
      <c r="K121" s="183">
        <f t="shared" ca="1" si="141"/>
        <v>1</v>
      </c>
      <c r="L121" s="183">
        <f t="shared" ca="1" si="142"/>
        <v>17892.985354458615</v>
      </c>
      <c r="M121" s="183">
        <f t="shared" ca="1" si="146"/>
        <v>33066.722554673681</v>
      </c>
      <c r="N121" s="183">
        <f t="shared" ca="1" si="147"/>
        <v>19126.695946310534</v>
      </c>
      <c r="O121" s="183">
        <f t="shared" ca="1" si="143"/>
        <v>19126.695946310534</v>
      </c>
      <c r="P121" s="183">
        <f t="shared" ca="1" si="144"/>
        <v>69655.215781662569</v>
      </c>
      <c r="Q121" s="183">
        <f t="shared" ca="1" si="140"/>
        <v>2111.6052084003677</v>
      </c>
      <c r="R121" s="183">
        <f t="shared" ca="1" si="145"/>
        <v>13487.166907813373</v>
      </c>
      <c r="S121" s="110"/>
      <c r="T121" s="417"/>
      <c r="U121" s="418"/>
      <c r="V121" s="418"/>
      <c r="W121" s="419"/>
      <c r="X121" s="75">
        <f ca="1">IFERROR(IF(AND(MAX($A$114:X120)&gt;X120+1, MAX($A$114:X120)&gt;20),0,IF(AND(AA121="",AD121=""),0,IF(OR(AA121&gt;LimitSignB10, AD121&gt;LimitSignB11),X120+1,0))),"")</f>
        <v>0</v>
      </c>
      <c r="Y121" s="330"/>
      <c r="Z121" s="329"/>
      <c r="AA121" s="32"/>
      <c r="AB121" s="53"/>
      <c r="AC121" s="14"/>
      <c r="AD121" s="14"/>
      <c r="AE121" s="14"/>
      <c r="AF121" s="14"/>
      <c r="AG121" s="14"/>
      <c r="AH121" s="14"/>
      <c r="AI121" s="14"/>
      <c r="AJ121" s="14"/>
      <c r="AK121" s="14"/>
      <c r="AL121" s="14"/>
      <c r="AM121" s="14"/>
      <c r="AN121" s="14"/>
      <c r="AO121" s="14"/>
      <c r="AP121" s="14"/>
    </row>
    <row r="122" spans="1:42" s="81" customFormat="1" ht="15" customHeight="1" x14ac:dyDescent="0.15">
      <c r="A122" s="75">
        <v>0</v>
      </c>
      <c r="B122" s="76">
        <f ca="1">IFERROR(MyTime(INDEX(INDIRECT("input!"&amp;$B$112&amp;":"&amp;$B$112),FirstRowInput+Integration*COUNT($B$114:B121)) )* $B$110,"")</f>
        <v>3292.0250879999999</v>
      </c>
      <c r="C122" s="77">
        <f ca="1">IFERROR(AVERAGE(INDEX(INDIRECT("input!" &amp; $C$112 &amp; ":" &amp; $C$112),FirstRowInput+Integration*COUNT($B$114:B121)):INDEX(INDIRECT("input!" &amp; $C$112 &amp; ":" &amp; $C$112),FirstRowInput+Integration*COUNT($B$114:B121)+Integration-1))*$C$110,"")</f>
        <v>19484.829049494929</v>
      </c>
      <c r="D122" s="77">
        <f ca="1">IFERROR(AVERAGE(INDEX(INDIRECT("input!" &amp; $D$112 &amp; ":" &amp; $D$112),FirstRowInput+Integration*COUNT($B$114:B121)):INDEX(INDIRECT("input!" &amp; $D$112 &amp; ":" &amp; $D$112),FirstRowInput+Integration*COUNT($B$114:B121)+Integration-1))*$D$110,"")</f>
        <v>32653.415157753439</v>
      </c>
      <c r="E122" s="77">
        <f ca="1">IFERROR(AVERAGE(INDEX(INDIRECT("input!" &amp; $E$112 &amp; ":" &amp; $E$112),FirstRowInput+Integration*COUNT($B$114:B121)):INDEX(INDIRECT("input!" &amp; $E$112 &amp; ":" &amp; $E$112),FirstRowInput+Integration*COUNT($B$114:B121)+Integration-1))*$E$110,"")</f>
        <v>18944.795067611089</v>
      </c>
      <c r="F122" s="77">
        <f ca="1">IFERROR(AVERAGE(INDEX(INDIRECT("input!" &amp; $F$112 &amp; ":" &amp; $F$112),FirstRowInput+Integration*COUNT($B$114:B121)):INDEX(INDIRECT("input!" &amp; $F$112 &amp; ":" &amp; $F$112),FirstRowInput+Integration*COUNT($B$114:B121)+Integration-1))*$F$110,"")</f>
        <v>6466.5913777745909</v>
      </c>
      <c r="G122" s="77">
        <f ca="1">IFERROR(AVERAGE(INDEX(INDIRECT("input!" &amp; $G$112 &amp; ":" &amp; $G$112),FirstRowInput+Integration*COUNT($B$114:B121)):INDEX(INDIRECT("input!" &amp; $G$112 &amp; ":" &amp; $G$112),FirstRowInput+Integration*COUNT($B$114:B121)+Integration-1))*$G$110,"")</f>
        <v>68925.207431449191</v>
      </c>
      <c r="H122" s="77">
        <f ca="1">IFERROR(AVERAGE(INDEX(INDIRECT("input!" &amp; $H$112 &amp; ":" &amp; $H$112),FirstRowInput+Integration*COUNT($B$114:B121)):INDEX(INDIRECT("input!" &amp; $H$112 &amp; ":" &amp; $H$112),FirstRowInput+Integration*COUNT($B$114:B121)+Integration-1))*$H$110,"")</f>
        <v>5371.1336768548745</v>
      </c>
      <c r="I122" s="42">
        <v>10</v>
      </c>
      <c r="J122" s="74">
        <f t="shared" ca="1" si="139"/>
        <v>10</v>
      </c>
      <c r="K122" s="183">
        <f t="shared" ca="1" si="141"/>
        <v>1</v>
      </c>
      <c r="L122" s="183">
        <f t="shared" ca="1" si="142"/>
        <v>19484.829049494929</v>
      </c>
      <c r="M122" s="183">
        <f t="shared" ca="1" si="146"/>
        <v>32653.415157753439</v>
      </c>
      <c r="N122" s="183">
        <f t="shared" ca="1" si="147"/>
        <v>18944.795067611089</v>
      </c>
      <c r="O122" s="183">
        <f t="shared" ca="1" si="143"/>
        <v>18944.795067611089</v>
      </c>
      <c r="P122" s="183">
        <f t="shared" ca="1" si="144"/>
        <v>68925.207431449191</v>
      </c>
      <c r="Q122" s="183">
        <f t="shared" ca="1" si="140"/>
        <v>6466.5913777745909</v>
      </c>
      <c r="R122" s="183">
        <f t="shared" ca="1" si="145"/>
        <v>5371.1336768548745</v>
      </c>
      <c r="S122" s="110"/>
      <c r="T122" s="67"/>
      <c r="U122" s="340"/>
      <c r="V122" s="339"/>
      <c r="W122" s="29"/>
      <c r="X122" s="75">
        <f ca="1">IFERROR(IF(AND(MAX($A$114:X121)&gt;X121+1, MAX($A$114:X121)&gt;20),0,IF(AND(AA122="",AD122=""),0,IF(OR(AA122&gt;LimitSignB10, AD122&gt;LimitSignB11),X121+1,0))),"")</f>
        <v>0</v>
      </c>
      <c r="Y122" s="108"/>
      <c r="Z122" s="108"/>
      <c r="AA122" s="32"/>
      <c r="AB122" s="53"/>
      <c r="AC122" s="14"/>
      <c r="AD122" s="14"/>
      <c r="AE122" s="14"/>
      <c r="AF122" s="14"/>
      <c r="AG122" s="14"/>
      <c r="AH122" s="14"/>
      <c r="AI122" s="14"/>
      <c r="AJ122" s="14"/>
      <c r="AK122" s="14"/>
      <c r="AL122" s="14"/>
      <c r="AM122" s="14"/>
      <c r="AN122" s="14"/>
      <c r="AO122" s="14"/>
      <c r="AP122" s="14"/>
    </row>
    <row r="123" spans="1:42" s="81" customFormat="1" ht="15" customHeight="1" x14ac:dyDescent="0.15">
      <c r="A123" s="75">
        <v>0</v>
      </c>
      <c r="B123" s="76">
        <f ca="1">IFERROR(MyTime(INDEX(INDIRECT("input!"&amp;$B$112&amp;":"&amp;$B$112),FirstRowInput+Integration*COUNT($B$114:B122)) )* $B$110,"")</f>
        <v>3292.0931839999998</v>
      </c>
      <c r="C123" s="77">
        <f ca="1">IFERROR(AVERAGE(INDEX(INDIRECT("input!" &amp; $C$112 &amp; ":" &amp; $C$112),FirstRowInput+Integration*COUNT($B$114:B122)):INDEX(INDIRECT("input!" &amp; $C$112 &amp; ":" &amp; $C$112),FirstRowInput+Integration*COUNT($B$114:B122)+Integration-1))*$C$110,"")</f>
        <v>21783.368767924985</v>
      </c>
      <c r="D123" s="77">
        <f ca="1">IFERROR(AVERAGE(INDEX(INDIRECT("input!" &amp; $D$112 &amp; ":" &amp; $D$112),FirstRowInput+Integration*COUNT($B$114:B122)):INDEX(INDIRECT("input!" &amp; $D$112 &amp; ":" &amp; $D$112),FirstRowInput+Integration*COUNT($B$114:B122)+Integration-1))*$D$110,"")</f>
        <v>29793.913704501396</v>
      </c>
      <c r="E123" s="77">
        <f ca="1">IFERROR(AVERAGE(INDEX(INDIRECT("input!" &amp; $E$112 &amp; ":" &amp; $E$112),FirstRowInput+Integration*COUNT($B$114:B122)):INDEX(INDIRECT("input!" &amp; $E$112 &amp; ":" &amp; $E$112),FirstRowInput+Integration*COUNT($B$114:B122)+Integration-1))*$E$110,"")</f>
        <v>18617.225201637128</v>
      </c>
      <c r="F123" s="77">
        <f ca="1">IFERROR(AVERAGE(INDEX(INDIRECT("input!" &amp; $F$112 &amp; ":" &amp; $F$112),FirstRowInput+Integration*COUNT($B$114:B122)):INDEX(INDIRECT("input!" &amp; $F$112 &amp; ":" &amp; $F$112),FirstRowInput+Integration*COUNT($B$114:B122)+Integration-1))*$F$110,"")</f>
        <v>9632.9037953080624</v>
      </c>
      <c r="G123" s="77">
        <f ca="1">IFERROR(AVERAGE(INDEX(INDIRECT("input!" &amp; $G$112 &amp; ":" &amp; $G$112),FirstRowInput+Integration*COUNT($B$114:B122)):INDEX(INDIRECT("input!" &amp; $G$112 &amp; ":" &amp; $G$112),FirstRowInput+Integration*COUNT($B$114:B122)+Integration-1))*$G$110,"")</f>
        <v>63611.19948173016</v>
      </c>
      <c r="H123" s="77">
        <f ca="1">IFERROR(AVERAGE(INDEX(INDIRECT("input!" &amp; $H$112 &amp; ":" &amp; $H$112),FirstRowInput+Integration*COUNT($B$114:B122)):INDEX(INDIRECT("input!" &amp; $H$112 &amp; ":" &amp; $H$112),FirstRowInput+Integration*COUNT($B$114:B122)+Integration-1))*$H$110,"")</f>
        <v>7794.9093338588164</v>
      </c>
      <c r="I123" s="42">
        <v>11</v>
      </c>
      <c r="J123" s="74">
        <f t="shared" ca="1" si="139"/>
        <v>11</v>
      </c>
      <c r="K123" s="183">
        <f t="shared" ca="1" si="141"/>
        <v>1</v>
      </c>
      <c r="L123" s="183">
        <f t="shared" ca="1" si="142"/>
        <v>21783.368767924985</v>
      </c>
      <c r="M123" s="183">
        <f t="shared" ca="1" si="146"/>
        <v>29793.913704501396</v>
      </c>
      <c r="N123" s="183">
        <f t="shared" ca="1" si="147"/>
        <v>18617.225201637128</v>
      </c>
      <c r="O123" s="183">
        <f t="shared" ca="1" si="143"/>
        <v>18617.225201637128</v>
      </c>
      <c r="P123" s="183">
        <f t="shared" ca="1" si="144"/>
        <v>63611.19948173016</v>
      </c>
      <c r="Q123" s="183">
        <f t="shared" ca="1" si="140"/>
        <v>9632.9037953080624</v>
      </c>
      <c r="R123" s="183">
        <f t="shared" ca="1" si="145"/>
        <v>7794.9093338588164</v>
      </c>
      <c r="S123" s="110"/>
      <c r="T123" s="73"/>
      <c r="U123" s="340">
        <f>25000</f>
        <v>25000</v>
      </c>
      <c r="V123" s="339"/>
      <c r="W123" s="29"/>
      <c r="X123" s="75">
        <f ca="1">IFERROR(IF(AND(MAX($A$114:X122)&gt;X122+1, MAX($A$114:X122)&gt;20),0,IF(AND(AA123="",AD123=""),0,IF(OR(AA123&gt;LimitSignB10, AD123&gt;LimitSignB11),X122+1,0))),"")</f>
        <v>0</v>
      </c>
      <c r="Y123" s="108"/>
      <c r="Z123" s="108"/>
      <c r="AA123" s="32"/>
      <c r="AB123" s="53"/>
      <c r="AC123" s="14"/>
      <c r="AD123" s="14"/>
      <c r="AE123" s="14"/>
      <c r="AF123" s="14"/>
      <c r="AG123" s="14"/>
      <c r="AH123" s="14"/>
      <c r="AI123" s="14"/>
      <c r="AJ123" s="14"/>
      <c r="AK123" s="14"/>
      <c r="AL123" s="14"/>
      <c r="AM123" s="14"/>
      <c r="AN123" s="14"/>
      <c r="AO123" s="14"/>
      <c r="AP123" s="14"/>
    </row>
    <row r="124" spans="1:42" s="81" customFormat="1" ht="15" customHeight="1" x14ac:dyDescent="0.15">
      <c r="A124" s="75">
        <v>0</v>
      </c>
      <c r="B124" s="76">
        <f ca="1">IFERROR(MyTime(INDEX(INDIRECT("input!"&amp;$B$112&amp;":"&amp;$B$112),FirstRowInput+Integration*COUNT($B$114:B123)) )* $B$110,"")</f>
        <v>3292.1615360000001</v>
      </c>
      <c r="C124" s="77">
        <f ca="1">IFERROR(AVERAGE(INDEX(INDIRECT("input!" &amp; $C$112 &amp; ":" &amp; $C$112),FirstRowInput+Integration*COUNT($B$114:B123)):INDEX(INDIRECT("input!" &amp; $C$112 &amp; ":" &amp; $C$112),FirstRowInput+Integration*COUNT($B$114:B123)+Integration-1))*$C$110,"")</f>
        <v>18818.998655892803</v>
      </c>
      <c r="D124" s="77">
        <f ca="1">IFERROR(AVERAGE(INDEX(INDIRECT("input!" &amp; $D$112 &amp; ":" &amp; $D$112),FirstRowInput+Integration*COUNT($B$114:B123)):INDEX(INDIRECT("input!" &amp; $D$112 &amp; ":" &amp; $D$112),FirstRowInput+Integration*COUNT($B$114:B123)+Integration-1))*$D$110,"")</f>
        <v>30169.562802769979</v>
      </c>
      <c r="E124" s="77">
        <f ca="1">IFERROR(AVERAGE(INDEX(INDIRECT("input!" &amp; $E$112 &amp; ":" &amp; $E$112),FirstRowInput+Integration*COUNT($B$114:B123)):INDEX(INDIRECT("input!" &amp; $E$112 &amp; ":" &amp; $E$112),FirstRowInput+Integration*COUNT($B$114:B123)+Integration-1))*$E$110,"")</f>
        <v>18762.363130033162</v>
      </c>
      <c r="F124" s="77">
        <f ca="1">IFERROR(AVERAGE(INDEX(INDIRECT("input!" &amp; $F$112 &amp; ":" &amp; $F$112),FirstRowInput+Integration*COUNT($B$114:B123)):INDEX(INDIRECT("input!" &amp; $F$112 &amp; ":" &amp; $F$112),FirstRowInput+Integration*COUNT($B$114:B123)+Integration-1))*$F$110,"")</f>
        <v>12403.036549412245</v>
      </c>
      <c r="G124" s="77">
        <f ca="1">IFERROR(AVERAGE(INDEX(INDIRECT("input!" &amp; $G$112 &amp; ":" &amp; $G$112),FirstRowInput+Integration*COUNT($B$114:B123)):INDEX(INDIRECT("input!" &amp; $G$112 &amp; ":" &amp; $G$112),FirstRowInput+Integration*COUNT($B$114:B123)+Integration-1))*$G$110,"")</f>
        <v>66562.779373233308</v>
      </c>
      <c r="H124" s="77">
        <f ca="1">IFERROR(AVERAGE(INDEX(INDIRECT("input!" &amp; $H$112 &amp; ":" &amp; $H$112),FirstRowInput+Integration*COUNT($B$114:B123)):INDEX(INDIRECT("input!" &amp; $H$112 &amp; ":" &amp; $H$112),FirstRowInput+Integration*COUNT($B$114:B123)+Integration-1))*$H$110,"")</f>
        <v>20872.078114650922</v>
      </c>
      <c r="I124" s="42">
        <v>12</v>
      </c>
      <c r="J124" s="74">
        <f t="shared" ca="1" si="139"/>
        <v>12</v>
      </c>
      <c r="K124" s="183">
        <f t="shared" ref="K124:K178" ca="1" si="148">IFERROR(IF(OR(D124&gt;$M$111,G124&gt;$P$111,MAX(A124:A138)&gt;=15),"",1),"")</f>
        <v>1</v>
      </c>
      <c r="L124" s="183">
        <f t="shared" ca="1" si="142"/>
        <v>18818.998655892803</v>
      </c>
      <c r="M124" s="183">
        <f t="shared" ca="1" si="146"/>
        <v>30169.562802769979</v>
      </c>
      <c r="N124" s="183">
        <f t="shared" ca="1" si="147"/>
        <v>18762.363130033162</v>
      </c>
      <c r="O124" s="183">
        <f t="shared" ca="1" si="143"/>
        <v>18762.363130033162</v>
      </c>
      <c r="P124" s="183">
        <f t="shared" ca="1" si="144"/>
        <v>66562.779373233308</v>
      </c>
      <c r="Q124" s="183">
        <f t="shared" ca="1" si="140"/>
        <v>12403.036549412245</v>
      </c>
      <c r="R124" s="183">
        <f t="shared" ca="1" si="145"/>
        <v>20872.078114650922</v>
      </c>
      <c r="S124" s="110"/>
      <c r="T124" s="73"/>
      <c r="U124" s="340"/>
      <c r="V124" s="339"/>
      <c r="W124" s="29"/>
      <c r="X124" s="75">
        <f ca="1">IFERROR(IF(AND(MAX($A$114:X123)&gt;X123+1, MAX($A$114:X123)&gt;20),0,IF(AND(AA124="",AD124=""),0,IF(OR(AA124&gt;LimitSignB10, AD124&gt;LimitSignB11),X123+1,0))),"")</f>
        <v>0</v>
      </c>
      <c r="Y124" s="108"/>
      <c r="Z124" s="108"/>
      <c r="AA124" s="32"/>
      <c r="AB124" s="53"/>
      <c r="AC124" s="14"/>
      <c r="AD124" s="14"/>
      <c r="AE124" s="14"/>
      <c r="AF124" s="14"/>
      <c r="AG124" s="14"/>
      <c r="AH124" s="14"/>
      <c r="AI124" s="14"/>
      <c r="AJ124" s="14"/>
      <c r="AK124" s="14"/>
      <c r="AL124" s="14"/>
      <c r="AM124" s="14"/>
      <c r="AN124" s="14"/>
      <c r="AO124" s="14"/>
      <c r="AP124" s="14"/>
    </row>
    <row r="125" spans="1:42" s="81" customFormat="1" ht="15" customHeight="1" x14ac:dyDescent="0.15">
      <c r="A125" s="75">
        <v>0</v>
      </c>
      <c r="B125" s="76">
        <f ca="1">IFERROR(MyTime(INDEX(INDIRECT("input!"&amp;$B$112&amp;":"&amp;$B$112),FirstRowInput+Integration*COUNT($B$114:B124)) )* $B$110,"")</f>
        <v>3292.2296320000005</v>
      </c>
      <c r="C125" s="77">
        <f ca="1">IFERROR(AVERAGE(INDEX(INDIRECT("input!" &amp; $C$112 &amp; ":" &amp; $C$112),FirstRowInput+Integration*COUNT($B$114:B124)):INDEX(INDIRECT("input!" &amp; $C$112 &amp; ":" &amp; $C$112),FirstRowInput+Integration*COUNT($B$114:B124)+Integration-1))*$C$110,"")</f>
        <v>14795.523056588039</v>
      </c>
      <c r="D125" s="77">
        <f ca="1">IFERROR(AVERAGE(INDEX(INDIRECT("input!" &amp; $D$112 &amp; ":" &amp; $D$112),FirstRowInput+Integration*COUNT($B$114:B124)):INDEX(INDIRECT("input!" &amp; $D$112 &amp; ":" &amp; $D$112),FirstRowInput+Integration*COUNT($B$114:B124)+Integration-1))*$D$110,"")</f>
        <v>32869.412824271334</v>
      </c>
      <c r="E125" s="77">
        <f ca="1">IFERROR(AVERAGE(INDEX(INDIRECT("input!" &amp; $E$112 &amp; ":" &amp; $E$112),FirstRowInput+Integration*COUNT($B$114:B124)):INDEX(INDIRECT("input!" &amp; $E$112 &amp; ":" &amp; $E$112),FirstRowInput+Integration*COUNT($B$114:B124)+Integration-1))*$E$110,"")</f>
        <v>19216.496000008945</v>
      </c>
      <c r="F125" s="77">
        <f ca="1">IFERROR(AVERAGE(INDEX(INDIRECT("input!" &amp; $F$112 &amp; ":" &amp; $F$112),FirstRowInput+Integration*COUNT($B$114:B124)):INDEX(INDIRECT("input!" &amp; $F$112 &amp; ":" &amp; $F$112),FirstRowInput+Integration*COUNT($B$114:B124)+Integration-1))*$F$110,"")</f>
        <v>13122.517516472208</v>
      </c>
      <c r="G125" s="77">
        <f ca="1">IFERROR(AVERAGE(INDEX(INDIRECT("input!" &amp; $G$112 &amp; ":" &amp; $G$112),FirstRowInput+Integration*COUNT($B$114:B124)):INDEX(INDIRECT("input!" &amp; $G$112 &amp; ":" &amp; $G$112),FirstRowInput+Integration*COUNT($B$114:B124)+Integration-1))*$G$110,"")</f>
        <v>71656.563288983714</v>
      </c>
      <c r="H125" s="77">
        <f ca="1">IFERROR(AVERAGE(INDEX(INDIRECT("input!" &amp; $H$112 &amp; ":" &amp; $H$112),FirstRowInput+Integration*COUNT($B$114:B124)):INDEX(INDIRECT("input!" &amp; $H$112 &amp; ":" &amp; $H$112),FirstRowInput+Integration*COUNT($B$114:B124)+Integration-1))*$H$110,"")</f>
        <v>4228.6739549810691</v>
      </c>
      <c r="I125" s="42">
        <v>13</v>
      </c>
      <c r="J125" s="74">
        <f t="shared" ca="1" si="139"/>
        <v>13</v>
      </c>
      <c r="K125" s="183">
        <f t="shared" ca="1" si="148"/>
        <v>1</v>
      </c>
      <c r="L125" s="183">
        <f t="shared" ca="1" si="142"/>
        <v>14795.523056588039</v>
      </c>
      <c r="M125" s="183">
        <f t="shared" ca="1" si="146"/>
        <v>32869.412824271334</v>
      </c>
      <c r="N125" s="183">
        <f t="shared" ca="1" si="147"/>
        <v>19216.496000008945</v>
      </c>
      <c r="O125" s="183">
        <f t="shared" ca="1" si="143"/>
        <v>19216.496000008945</v>
      </c>
      <c r="P125" s="183">
        <f t="shared" ca="1" si="144"/>
        <v>71656.563288983714</v>
      </c>
      <c r="Q125" s="183">
        <f t="shared" ca="1" si="140"/>
        <v>13122.517516472208</v>
      </c>
      <c r="R125" s="183">
        <f t="shared" ca="1" si="145"/>
        <v>4228.6739549810691</v>
      </c>
      <c r="S125" s="110"/>
      <c r="T125" s="73"/>
      <c r="U125" s="14"/>
      <c r="V125" s="14"/>
      <c r="W125" s="14"/>
      <c r="X125" s="75">
        <f ca="1">IFERROR(IF(AND(MAX($A$114:X124)&gt;X124+1, MAX($A$114:X124)&gt;20),0,IF(AND(AA125="",AD125=""),0,IF(OR(AA125&gt;LimitSignB10, AD125&gt;LimitSignB11),X124+1,0))),"")</f>
        <v>0</v>
      </c>
      <c r="Y125" s="14"/>
      <c r="Z125" s="14"/>
      <c r="AA125" s="14"/>
      <c r="AB125" s="14"/>
      <c r="AC125" s="14"/>
      <c r="AD125" s="14"/>
      <c r="AE125" s="14"/>
      <c r="AF125" s="14"/>
      <c r="AG125" s="14"/>
      <c r="AH125" s="14"/>
      <c r="AI125" s="14"/>
      <c r="AJ125" s="14"/>
      <c r="AK125" s="14"/>
      <c r="AL125" s="14"/>
      <c r="AM125" s="14"/>
      <c r="AN125" s="14"/>
      <c r="AO125" s="14"/>
      <c r="AP125" s="14"/>
    </row>
    <row r="126" spans="1:42" s="81" customFormat="1" ht="15" customHeight="1" x14ac:dyDescent="0.15">
      <c r="A126" s="75">
        <v>0</v>
      </c>
      <c r="B126" s="76">
        <f ca="1">IFERROR(MyTime(INDEX(INDIRECT("input!"&amp;$B$112&amp;":"&amp;$B$112),FirstRowInput+Integration*COUNT($B$114:B125)) )* $B$110,"")</f>
        <v>3292.297728</v>
      </c>
      <c r="C126" s="77">
        <f ca="1">IFERROR(AVERAGE(INDEX(INDIRECT("input!" &amp; $C$112 &amp; ":" &amp; $C$112),FirstRowInput+Integration*COUNT($B$114:B125)):INDEX(INDIRECT("input!" &amp; $C$112 &amp; ":" &amp; $C$112),FirstRowInput+Integration*COUNT($B$114:B125)+Integration-1))*$C$110,"")</f>
        <v>19165.203940845207</v>
      </c>
      <c r="D126" s="77">
        <f ca="1">IFERROR(AVERAGE(INDEX(INDIRECT("input!" &amp; $D$112 &amp; ":" &amp; $D$112),FirstRowInput+Integration*COUNT($B$114:B125)):INDEX(INDIRECT("input!" &amp; $D$112 &amp; ":" &amp; $D$112),FirstRowInput+Integration*COUNT($B$114:B125)+Integration-1))*$D$110,"")</f>
        <v>30574.147211943375</v>
      </c>
      <c r="E126" s="77">
        <f ca="1">IFERROR(AVERAGE(INDEX(INDIRECT("input!" &amp; $E$112 &amp; ":" &amp; $E$112),FirstRowInput+Integration*COUNT($B$114:B125)):INDEX(INDIRECT("input!" &amp; $E$112 &amp; ":" &amp; $E$112),FirstRowInput+Integration*COUNT($B$114:B125)+Integration-1))*$E$110,"")</f>
        <v>16135.257318755454</v>
      </c>
      <c r="F126" s="77">
        <f ca="1">IFERROR(AVERAGE(INDEX(INDIRECT("input!" &amp; $F$112 &amp; ":" &amp; $F$112),FirstRowInput+Integration*COUNT($B$114:B125)):INDEX(INDIRECT("input!" &amp; $F$112 &amp; ":" &amp; $F$112),FirstRowInput+Integration*COUNT($B$114:B125)+Integration-1))*$F$110,"")</f>
        <v>10279.244549300563</v>
      </c>
      <c r="G126" s="77">
        <f ca="1">IFERROR(AVERAGE(INDEX(INDIRECT("input!" &amp; $G$112 &amp; ":" &amp; $G$112),FirstRowInput+Integration*COUNT($B$114:B125)):INDEX(INDIRECT("input!" &amp; $G$112 &amp; ":" &amp; $G$112),FirstRowInput+Integration*COUNT($B$114:B125)+Integration-1))*$G$110,"")</f>
        <v>71053.073663578034</v>
      </c>
      <c r="H126" s="77">
        <f ca="1">IFERROR(AVERAGE(INDEX(INDIRECT("input!" &amp; $H$112 &amp; ":" &amp; $H$112),FirstRowInput+Integration*COUNT($B$114:B125)):INDEX(INDIRECT("input!" &amp; $H$112 &amp; ":" &amp; $H$112),FirstRowInput+Integration*COUNT($B$114:B125)+Integration-1))*$H$110,"")</f>
        <v>7613.8098803505018</v>
      </c>
      <c r="I126" s="42">
        <v>14</v>
      </c>
      <c r="J126" s="74">
        <f t="shared" ca="1" si="139"/>
        <v>14</v>
      </c>
      <c r="K126" s="183">
        <f t="shared" ca="1" si="148"/>
        <v>1</v>
      </c>
      <c r="L126" s="183">
        <f t="shared" ca="1" si="142"/>
        <v>19165.203940845207</v>
      </c>
      <c r="M126" s="183">
        <f t="shared" ca="1" si="146"/>
        <v>30574.147211943375</v>
      </c>
      <c r="N126" s="183">
        <f t="shared" ca="1" si="147"/>
        <v>16135.257318755454</v>
      </c>
      <c r="O126" s="183">
        <f t="shared" ca="1" si="143"/>
        <v>16135.257318755454</v>
      </c>
      <c r="P126" s="183">
        <f t="shared" ca="1" si="144"/>
        <v>71053.073663578034</v>
      </c>
      <c r="Q126" s="183">
        <f t="shared" ca="1" si="140"/>
        <v>10279.244549300563</v>
      </c>
      <c r="R126" s="183">
        <f t="shared" ca="1" si="145"/>
        <v>7613.8098803505018</v>
      </c>
      <c r="S126" s="110"/>
      <c r="T126" s="73"/>
      <c r="U126" s="14"/>
      <c r="V126" s="14"/>
      <c r="W126" s="14"/>
      <c r="X126" s="75">
        <f ca="1">IFERROR(IF(AND(MAX($A$114:X125)&gt;X125+1, MAX($A$114:X125)&gt;20),0,IF(AND(AA126="",AD126=""),0,IF(OR(AA126&gt;LimitSignB10, AD126&gt;LimitSignB11),X125+1,0))),"")</f>
        <v>0</v>
      </c>
      <c r="Y126" s="14"/>
      <c r="Z126" s="14"/>
      <c r="AA126" s="14"/>
      <c r="AB126" s="14"/>
      <c r="AC126" s="14"/>
      <c r="AD126" s="14"/>
      <c r="AE126" s="14"/>
      <c r="AF126" s="14"/>
      <c r="AG126" s="14"/>
      <c r="AH126" s="14"/>
      <c r="AI126" s="14"/>
      <c r="AJ126" s="14"/>
      <c r="AK126" s="14"/>
      <c r="AL126" s="14"/>
      <c r="AM126" s="14"/>
      <c r="AN126" s="14"/>
      <c r="AO126" s="14"/>
      <c r="AP126" s="14"/>
    </row>
    <row r="127" spans="1:42" s="81" customFormat="1" ht="15" customHeight="1" x14ac:dyDescent="0.15">
      <c r="A127" s="75">
        <v>0</v>
      </c>
      <c r="B127" s="76">
        <f ca="1">IFERROR(MyTime(INDEX(INDIRECT("input!"&amp;$B$112&amp;":"&amp;$B$112),FirstRowInput+Integration*COUNT($B$114:B126)) )* $B$110,"")</f>
        <v>3292.365824</v>
      </c>
      <c r="C127" s="77">
        <f ca="1">IFERROR(AVERAGE(INDEX(INDIRECT("input!" &amp; $C$112 &amp; ":" &amp; $C$112),FirstRowInput+Integration*COUNT($B$114:B126)):INDEX(INDIRECT("input!" &amp; $C$112 &amp; ":" &amp; $C$112),FirstRowInput+Integration*COUNT($B$114:B126)+Integration-1))*$C$110,"")</f>
        <v>21013.508353374513</v>
      </c>
      <c r="D127" s="77">
        <f ca="1">IFERROR(AVERAGE(INDEX(INDIRECT("input!" &amp; $D$112 &amp; ":" &amp; $D$112),FirstRowInput+Integration*COUNT($B$114:B126)):INDEX(INDIRECT("input!" &amp; $D$112 &amp; ":" &amp; $D$112),FirstRowInput+Integration*COUNT($B$114:B126)+Integration-1))*$D$110,"")</f>
        <v>31921.326748694322</v>
      </c>
      <c r="E127" s="77">
        <f ca="1">IFERROR(AVERAGE(INDEX(INDIRECT("input!" &amp; $E$112 &amp; ":" &amp; $E$112),FirstRowInput+Integration*COUNT($B$114:B126)):INDEX(INDIRECT("input!" &amp; $E$112 &amp; ":" &amp; $E$112),FirstRowInput+Integration*COUNT($B$114:B126)+Integration-1))*$E$110,"")</f>
        <v>15715.880885647737</v>
      </c>
      <c r="F127" s="77">
        <f ca="1">IFERROR(AVERAGE(INDEX(INDIRECT("input!" &amp; $F$112 &amp; ":" &amp; $F$112),FirstRowInput+Integration*COUNT($B$114:B126)):INDEX(INDIRECT("input!" &amp; $F$112 &amp; ":" &amp; $F$112),FirstRowInput+Integration*COUNT($B$114:B126)+Integration-1))*$F$110,"")</f>
        <v>17027.522744494017</v>
      </c>
      <c r="G127" s="77">
        <f ca="1">IFERROR(AVERAGE(INDEX(INDIRECT("input!" &amp; $G$112 &amp; ":" &amp; $G$112),FirstRowInput+Integration*COUNT($B$114:B126)):INDEX(INDIRECT("input!" &amp; $G$112 &amp; ":" &amp; $G$112),FirstRowInput+Integration*COUNT($B$114:B126)+Integration-1))*$G$110,"")</f>
        <v>69308.581005386732</v>
      </c>
      <c r="H127" s="77">
        <f ca="1">IFERROR(AVERAGE(INDEX(INDIRECT("input!" &amp; $H$112 &amp; ":" &amp; $H$112),FirstRowInput+Integration*COUNT($B$114:B126)):INDEX(INDIRECT("input!" &amp; $H$112 &amp; ":" &amp; $H$112),FirstRowInput+Integration*COUNT($B$114:B126)+Integration-1))*$H$110,"")</f>
        <v>10092.480062732371</v>
      </c>
      <c r="I127" s="42">
        <v>15</v>
      </c>
      <c r="J127" s="74">
        <f t="shared" ca="1" si="139"/>
        <v>15</v>
      </c>
      <c r="K127" s="183">
        <f t="shared" ca="1" si="148"/>
        <v>1</v>
      </c>
      <c r="L127" s="183">
        <f t="shared" ca="1" si="142"/>
        <v>21013.508353374513</v>
      </c>
      <c r="M127" s="183">
        <f t="shared" ca="1" si="146"/>
        <v>31921.326748694322</v>
      </c>
      <c r="N127" s="183">
        <f t="shared" ca="1" si="147"/>
        <v>15715.880885647737</v>
      </c>
      <c r="O127" s="183">
        <f t="shared" ca="1" si="143"/>
        <v>15715.880885647737</v>
      </c>
      <c r="P127" s="183">
        <f t="shared" ca="1" si="144"/>
        <v>69308.581005386732</v>
      </c>
      <c r="Q127" s="183">
        <f t="shared" ca="1" si="140"/>
        <v>17027.522744494017</v>
      </c>
      <c r="R127" s="183">
        <f t="shared" ca="1" si="145"/>
        <v>10092.480062732371</v>
      </c>
      <c r="S127" s="110"/>
      <c r="T127" s="73"/>
      <c r="U127" s="14"/>
      <c r="V127" s="14"/>
      <c r="W127" s="14"/>
      <c r="X127" s="75">
        <f ca="1">IFERROR(IF(AND(MAX($A$114:X126)&gt;X126+1, MAX($A$114:X126)&gt;20),0,IF(AND(AA127="",AD127=""),0,IF(OR(AA127&gt;LimitSignB10, AD127&gt;LimitSignB11),X126+1,0))),"")</f>
        <v>0</v>
      </c>
      <c r="Y127" s="14"/>
      <c r="Z127" s="14"/>
      <c r="AA127" s="14"/>
      <c r="AB127" s="14"/>
      <c r="AC127" s="14"/>
      <c r="AD127" s="14"/>
      <c r="AE127" s="14"/>
      <c r="AF127" s="14"/>
      <c r="AG127" s="14"/>
      <c r="AH127" s="14"/>
      <c r="AI127" s="14"/>
      <c r="AJ127" s="14"/>
      <c r="AK127" s="14"/>
      <c r="AL127" s="14"/>
      <c r="AM127" s="14"/>
      <c r="AN127" s="14"/>
      <c r="AO127" s="14"/>
      <c r="AP127" s="14"/>
    </row>
    <row r="128" spans="1:42" s="81" customFormat="1" ht="15" customHeight="1" x14ac:dyDescent="0.15">
      <c r="A128" s="75">
        <v>0</v>
      </c>
      <c r="B128" s="76">
        <f ca="1">IFERROR(MyTime(INDEX(INDIRECT("input!"&amp;$B$112&amp;":"&amp;$B$112),FirstRowInput+Integration*COUNT($B$114:B127)) )* $B$110,"")</f>
        <v>3292.4336640000001</v>
      </c>
      <c r="C128" s="77">
        <f ca="1">IFERROR(AVERAGE(INDEX(INDIRECT("input!" &amp; $C$112 &amp; ":" &amp; $C$112),FirstRowInput+Integration*COUNT($B$114:B127)):INDEX(INDIRECT("input!" &amp; $C$112 &amp; ":" &amp; $C$112),FirstRowInput+Integration*COUNT($B$114:B127)+Integration-1))*$C$110,"")</f>
        <v>18155.093498674891</v>
      </c>
      <c r="D128" s="77">
        <f ca="1">IFERROR(AVERAGE(INDEX(INDIRECT("input!" &amp; $D$112 &amp; ":" &amp; $D$112),FirstRowInput+Integration*COUNT($B$114:B127)):INDEX(INDIRECT("input!" &amp; $D$112 &amp; ":" &amp; $D$112),FirstRowInput+Integration*COUNT($B$114:B127)+Integration-1))*$D$110,"")</f>
        <v>32502.451217759884</v>
      </c>
      <c r="E128" s="77">
        <f ca="1">IFERROR(AVERAGE(INDEX(INDIRECT("input!" &amp; $E$112 &amp; ":" &amp; $E$112),FirstRowInput+Integration*COUNT($B$114:B127)):INDEX(INDIRECT("input!" &amp; $E$112 &amp; ":" &amp; $E$112),FirstRowInput+Integration*COUNT($B$114:B127)+Integration-1))*$E$110,"")</f>
        <v>20748.356141887543</v>
      </c>
      <c r="F128" s="77">
        <f ca="1">IFERROR(AVERAGE(INDEX(INDIRECT("input!" &amp; $F$112 &amp; ":" &amp; $F$112),FirstRowInput+Integration*COUNT($B$114:B127)):INDEX(INDIRECT("input!" &amp; $F$112 &amp; ":" &amp; $F$112),FirstRowInput+Integration*COUNT($B$114:B127)+Integration-1))*$F$110,"")</f>
        <v>11440.634723821244</v>
      </c>
      <c r="G128" s="77">
        <f ca="1">IFERROR(AVERAGE(INDEX(INDIRECT("input!" &amp; $G$112 &amp; ":" &amp; $G$112),FirstRowInput+Integration*COUNT($B$114:B127)):INDEX(INDIRECT("input!" &amp; $G$112 &amp; ":" &amp; $G$112),FirstRowInput+Integration*COUNT($B$114:B127)+Integration-1))*$G$110,"")</f>
        <v>67129.028172528808</v>
      </c>
      <c r="H128" s="77">
        <f ca="1">IFERROR(AVERAGE(INDEX(INDIRECT("input!" &amp; $H$112 &amp; ":" &amp; $H$112),FirstRowInput+Integration*COUNT($B$114:B127)):INDEX(INDIRECT("input!" &amp; $H$112 &amp; ":" &amp; $H$112),FirstRowInput+Integration*COUNT($B$114:B127)+Integration-1))*$H$110,"")</f>
        <v>3161.009888085192</v>
      </c>
      <c r="I128" s="42">
        <v>16</v>
      </c>
      <c r="J128" s="74">
        <f t="shared" ca="1" si="139"/>
        <v>16</v>
      </c>
      <c r="K128" s="183">
        <f t="shared" ca="1" si="148"/>
        <v>1</v>
      </c>
      <c r="L128" s="183">
        <f t="shared" ca="1" si="142"/>
        <v>18155.093498674891</v>
      </c>
      <c r="M128" s="183">
        <f t="shared" ca="1" si="146"/>
        <v>32502.451217759884</v>
      </c>
      <c r="N128" s="183">
        <f t="shared" ca="1" si="147"/>
        <v>20748.356141887543</v>
      </c>
      <c r="O128" s="183">
        <f t="shared" ca="1" si="143"/>
        <v>20748.356141887543</v>
      </c>
      <c r="P128" s="183">
        <f t="shared" ca="1" si="144"/>
        <v>67129.028172528808</v>
      </c>
      <c r="Q128" s="183">
        <f t="shared" ca="1" si="140"/>
        <v>11440.634723821244</v>
      </c>
      <c r="R128" s="183">
        <f t="shared" ca="1" si="145"/>
        <v>3161.009888085192</v>
      </c>
      <c r="S128" s="110"/>
      <c r="T128" s="73"/>
      <c r="U128" s="14"/>
      <c r="V128" s="14"/>
      <c r="W128" s="14"/>
      <c r="X128" s="75">
        <f ca="1">IFERROR(IF(AND(MAX($A$114:X127)&gt;X127+1, MAX($A$114:X127)&gt;20),0,IF(AND(AA128="",AD128=""),0,IF(OR(AA128&gt;LimitSignB10, AD128&gt;LimitSignB11),X127+1,0))),"")</f>
        <v>0</v>
      </c>
      <c r="Y128" s="14"/>
      <c r="Z128" s="14"/>
      <c r="AA128" s="14"/>
      <c r="AB128" s="14"/>
      <c r="AC128" s="14"/>
      <c r="AD128" s="14"/>
      <c r="AE128" s="14"/>
      <c r="AF128" s="14"/>
      <c r="AG128" s="14"/>
      <c r="AH128" s="14"/>
      <c r="AI128" s="14"/>
      <c r="AJ128" s="14"/>
      <c r="AK128" s="14"/>
      <c r="AL128" s="14"/>
      <c r="AM128" s="14"/>
      <c r="AN128" s="14"/>
      <c r="AO128" s="14"/>
      <c r="AP128" s="14"/>
    </row>
    <row r="129" spans="1:42" s="81" customFormat="1" ht="15" customHeight="1" x14ac:dyDescent="0.15">
      <c r="A129" s="75">
        <v>0</v>
      </c>
      <c r="B129" s="76">
        <f ca="1">IFERROR(MyTime(INDEX(INDIRECT("input!"&amp;$B$112&amp;":"&amp;$B$112),FirstRowInput+Integration*COUNT($B$114:B128)) )* $B$110,"")</f>
        <v>3292.5017599999996</v>
      </c>
      <c r="C129" s="77">
        <f ca="1">IFERROR(AVERAGE(INDEX(INDIRECT("input!" &amp; $C$112 &amp; ":" &amp; $C$112),FirstRowInput+Integration*COUNT($B$114:B128)):INDEX(INDIRECT("input!" &amp; $C$112 &amp; ":" &amp; $C$112),FirstRowInput+Integration*COUNT($B$114:B128)+Integration-1))*$C$110,"")</f>
        <v>19884.943624509913</v>
      </c>
      <c r="D129" s="77">
        <f ca="1">IFERROR(AVERAGE(INDEX(INDIRECT("input!" &amp; $D$112 &amp; ":" &amp; $D$112),FirstRowInput+Integration*COUNT($B$114:B128)):INDEX(INDIRECT("input!" &amp; $D$112 &amp; ":" &amp; $D$112),FirstRowInput+Integration*COUNT($B$114:B128)+Integration-1))*$D$110,"")</f>
        <v>34791.642956508986</v>
      </c>
      <c r="E129" s="77">
        <f ca="1">IFERROR(AVERAGE(INDEX(INDIRECT("input!" &amp; $E$112 &amp; ":" &amp; $E$112),FirstRowInput+Integration*COUNT($B$114:B128)):INDEX(INDIRECT("input!" &amp; $E$112 &amp; ":" &amp; $E$112),FirstRowInput+Integration*COUNT($B$114:B128)+Integration-1))*$E$110,"")</f>
        <v>17450.848611582238</v>
      </c>
      <c r="F129" s="77">
        <f ca="1">IFERROR(AVERAGE(INDEX(INDIRECT("input!" &amp; $F$112 &amp; ":" &amp; $F$112),FirstRowInput+Integration*COUNT($B$114:B128)):INDEX(INDIRECT("input!" &amp; $F$112 &amp; ":" &amp; $F$112),FirstRowInput+Integration*COUNT($B$114:B128)+Integration-1))*$F$110,"")</f>
        <v>9157.8402049036031</v>
      </c>
      <c r="G129" s="77">
        <f ca="1">IFERROR(AVERAGE(INDEX(INDIRECT("input!" &amp; $G$112 &amp; ":" &amp; $G$112),FirstRowInput+Integration*COUNT($B$114:B128)):INDEX(INDIRECT("input!" &amp; $G$112 &amp; ":" &amp; $G$112),FirstRowInput+Integration*COUNT($B$114:B128)+Integration-1))*$G$110,"")</f>
        <v>73522.591972036898</v>
      </c>
      <c r="H129" s="77">
        <f ca="1">IFERROR(AVERAGE(INDEX(INDIRECT("input!" &amp; $H$112 &amp; ":" &amp; $H$112),FirstRowInput+Integration*COUNT($B$114:B128)):INDEX(INDIRECT("input!" &amp; $H$112 &amp; ":" &amp; $H$112),FirstRowInput+Integration*COUNT($B$114:B128)+Integration-1))*$H$110,"")</f>
        <v>5397.9762408159804</v>
      </c>
      <c r="I129" s="42">
        <v>17</v>
      </c>
      <c r="J129" s="74">
        <f t="shared" ca="1" si="139"/>
        <v>17</v>
      </c>
      <c r="K129" s="183">
        <f t="shared" ca="1" si="148"/>
        <v>1</v>
      </c>
      <c r="L129" s="183">
        <f t="shared" ca="1" si="142"/>
        <v>19884.943624509913</v>
      </c>
      <c r="M129" s="183">
        <f t="shared" ca="1" si="146"/>
        <v>34791.642956508986</v>
      </c>
      <c r="N129" s="183">
        <f t="shared" ca="1" si="147"/>
        <v>17450.848611582238</v>
      </c>
      <c r="O129" s="183">
        <f t="shared" ca="1" si="143"/>
        <v>17450.848611582238</v>
      </c>
      <c r="P129" s="183">
        <f t="shared" ca="1" si="144"/>
        <v>73522.591972036898</v>
      </c>
      <c r="Q129" s="183">
        <f t="shared" ca="1" si="140"/>
        <v>9157.8402049036031</v>
      </c>
      <c r="R129" s="183">
        <f t="shared" ca="1" si="145"/>
        <v>5397.9762408159804</v>
      </c>
      <c r="S129" s="110"/>
      <c r="T129" s="73"/>
      <c r="U129" s="14"/>
      <c r="V129" s="14"/>
      <c r="W129" s="14"/>
      <c r="X129" s="75">
        <f ca="1">IFERROR(IF(AND(MAX($A$114:X128)&gt;X128+1, MAX($A$114:X128)&gt;20),0,IF(AND(AA129="",AD129=""),0,IF(OR(AA129&gt;LimitSignB10, AD129&gt;LimitSignB11),X128+1,0))),"")</f>
        <v>0</v>
      </c>
      <c r="Y129" s="14"/>
      <c r="Z129" s="14"/>
      <c r="AA129" s="14"/>
      <c r="AB129" s="14"/>
      <c r="AC129" s="14"/>
      <c r="AD129" s="14"/>
      <c r="AE129" s="14"/>
      <c r="AF129" s="14"/>
      <c r="AG129" s="14"/>
      <c r="AH129" s="14"/>
      <c r="AI129" s="14"/>
      <c r="AJ129" s="14"/>
      <c r="AK129" s="14"/>
      <c r="AL129" s="14"/>
      <c r="AM129" s="14"/>
      <c r="AN129" s="14"/>
      <c r="AO129" s="14"/>
      <c r="AP129" s="14"/>
    </row>
    <row r="130" spans="1:42" s="81" customFormat="1" ht="15" customHeight="1" x14ac:dyDescent="0.15">
      <c r="A130" s="75">
        <v>0</v>
      </c>
      <c r="B130" s="76">
        <f ca="1">IFERROR(MyTime(INDEX(INDIRECT("input!"&amp;$B$112&amp;":"&amp;$B$112),FirstRowInput+Integration*COUNT($B$114:B129)) )* $B$110,"")</f>
        <v>3292.5698560000001</v>
      </c>
      <c r="C130" s="77">
        <f ca="1">IFERROR(AVERAGE(INDEX(INDIRECT("input!" &amp; $C$112 &amp; ":" &amp; $C$112),FirstRowInput+Integration*COUNT($B$114:B129)):INDEX(INDIRECT("input!" &amp; $C$112 &amp; ":" &amp; $C$112),FirstRowInput+Integration*COUNT($B$114:B129)+Integration-1))*$C$110,"")</f>
        <v>21130.217629546336</v>
      </c>
      <c r="D130" s="77">
        <f ca="1">IFERROR(AVERAGE(INDEX(INDIRECT("input!" &amp; $D$112 &amp; ":" &amp; $D$112),FirstRowInput+Integration*COUNT($B$114:B129)):INDEX(INDIRECT("input!" &amp; $D$112 &amp; ":" &amp; $D$112),FirstRowInput+Integration*COUNT($B$114:B129)+Integration-1))*$D$110,"")</f>
        <v>35074.039931254643</v>
      </c>
      <c r="E130" s="77">
        <f ca="1">IFERROR(AVERAGE(INDEX(INDIRECT("input!" &amp; $E$112 &amp; ":" &amp; $E$112),FirstRowInput+Integration*COUNT($B$114:B129)):INDEX(INDIRECT("input!" &amp; $E$112 &amp; ":" &amp; $E$112),FirstRowInput+Integration*COUNT($B$114:B129)+Integration-1))*$E$110,"")</f>
        <v>17610.117642490215</v>
      </c>
      <c r="F130" s="77">
        <f ca="1">IFERROR(AVERAGE(INDEX(INDIRECT("input!" &amp; $F$112 &amp; ":" &amp; $F$112),FirstRowInput+Integration*COUNT($B$114:B129)):INDEX(INDIRECT("input!" &amp; $F$112 &amp; ":" &amp; $F$112),FirstRowInput+Integration*COUNT($B$114:B129)+Integration-1))*$F$110,"")</f>
        <v>13576.915685241231</v>
      </c>
      <c r="G130" s="77">
        <f ca="1">IFERROR(AVERAGE(INDEX(INDIRECT("input!" &amp; $G$112 &amp; ":" &amp; $G$112),FirstRowInput+Integration*COUNT($B$114:B129)):INDEX(INDIRECT("input!" &amp; $G$112 &amp; ":" &amp; $G$112),FirstRowInput+Integration*COUNT($B$114:B129)+Integration-1))*$G$110,"")</f>
        <v>71990.706789467862</v>
      </c>
      <c r="H130" s="77">
        <f ca="1">IFERROR(AVERAGE(INDEX(INDIRECT("input!" &amp; $H$112 &amp; ":" &amp; $H$112),FirstRowInput+Integration*COUNT($B$114:B129)):INDEX(INDIRECT("input!" &amp; $H$112 &amp; ":" &amp; $H$112),FirstRowInput+Integration*COUNT($B$114:B129)+Integration-1))*$H$110,"")</f>
        <v>13241.998730685817</v>
      </c>
      <c r="I130" s="42">
        <v>18</v>
      </c>
      <c r="J130" s="74">
        <f t="shared" ca="1" si="139"/>
        <v>18</v>
      </c>
      <c r="K130" s="183">
        <f t="shared" ca="1" si="148"/>
        <v>1</v>
      </c>
      <c r="L130" s="183">
        <f t="shared" ca="1" si="142"/>
        <v>21130.217629546336</v>
      </c>
      <c r="M130" s="183">
        <f t="shared" ca="1" si="146"/>
        <v>35074.039931254643</v>
      </c>
      <c r="N130" s="183">
        <f t="shared" ca="1" si="147"/>
        <v>17610.117642490215</v>
      </c>
      <c r="O130" s="183">
        <f t="shared" ca="1" si="143"/>
        <v>17610.117642490215</v>
      </c>
      <c r="P130" s="183">
        <f t="shared" ca="1" si="144"/>
        <v>71990.706789467862</v>
      </c>
      <c r="Q130" s="183">
        <f t="shared" ca="1" si="140"/>
        <v>13576.915685241231</v>
      </c>
      <c r="R130" s="183">
        <f t="shared" ca="1" si="145"/>
        <v>13241.998730685817</v>
      </c>
      <c r="S130" s="110"/>
      <c r="T130" s="73"/>
      <c r="U130" s="14"/>
      <c r="V130" s="14"/>
      <c r="W130" s="14"/>
      <c r="X130" s="75">
        <f ca="1">IFERROR(IF(AND(MAX($A$114:X129)&gt;X129+1, MAX($A$114:X129)&gt;20),0,IF(AND(AA130="",AD130=""),0,IF(OR(AA130&gt;LimitSignB10, AD130&gt;LimitSignB11),X129+1,0))),"")</f>
        <v>0</v>
      </c>
      <c r="Y130" s="14"/>
      <c r="Z130" s="14"/>
      <c r="AA130" s="14"/>
      <c r="AB130" s="14"/>
      <c r="AC130" s="14"/>
      <c r="AD130" s="14"/>
      <c r="AE130" s="14"/>
      <c r="AF130" s="14"/>
      <c r="AG130" s="14"/>
      <c r="AH130" s="14"/>
      <c r="AI130" s="14"/>
      <c r="AJ130" s="14"/>
      <c r="AK130" s="14"/>
      <c r="AL130" s="14"/>
      <c r="AM130" s="14"/>
      <c r="AN130" s="14"/>
      <c r="AO130" s="14"/>
      <c r="AP130" s="14"/>
    </row>
    <row r="131" spans="1:42" s="4" customFormat="1" ht="15" customHeight="1" x14ac:dyDescent="0.15">
      <c r="A131" s="75">
        <v>0</v>
      </c>
      <c r="B131" s="76">
        <f ca="1">IFERROR(MyTime(INDEX(INDIRECT("input!"&amp;$B$112&amp;":"&amp;$B$112),FirstRowInput+Integration*COUNT($B$114:B130)) )* $B$110,"")</f>
        <v>3292.637952</v>
      </c>
      <c r="C131" s="77">
        <f ca="1">IFERROR(AVERAGE(INDEX(INDIRECT("input!" &amp; $C$112 &amp; ":" &amp; $C$112),FirstRowInput+Integration*COUNT($B$114:B130)):INDEX(INDIRECT("input!" &amp; $C$112 &amp; ":" &amp; $C$112),FirstRowInput+Integration*COUNT($B$114:B130)+Integration-1))*$C$110,"")</f>
        <v>20258.712654174822</v>
      </c>
      <c r="D131" s="77">
        <f ca="1">IFERROR(AVERAGE(INDEX(INDIRECT("input!" &amp; $D$112 &amp; ":" &amp; $D$112),FirstRowInput+Integration*COUNT($B$114:B130)):INDEX(INDIRECT("input!" &amp; $D$112 &amp; ":" &amp; $D$112),FirstRowInput+Integration*COUNT($B$114:B130)+Integration-1))*$D$110,"")</f>
        <v>31704.08690633309</v>
      </c>
      <c r="E131" s="77">
        <f ca="1">IFERROR(AVERAGE(INDEX(INDIRECT("input!" &amp; $E$112 &amp; ":" &amp; $E$112),FirstRowInput+Integration*COUNT($B$114:B130)):INDEX(INDIRECT("input!" &amp; $E$112 &amp; ":" &amp; $E$112),FirstRowInput+Integration*COUNT($B$114:B130)+Integration-1))*$E$110,"")</f>
        <v>17663.087818816879</v>
      </c>
      <c r="F131" s="77">
        <f ca="1">IFERROR(AVERAGE(INDEX(INDIRECT("input!" &amp; $F$112 &amp; ":" &amp; $F$112),FirstRowInput+Integration*COUNT($B$114:B130)):INDEX(INDIRECT("input!" &amp; $F$112 &amp; ":" &amp; $F$112),FirstRowInput+Integration*COUNT($B$114:B130)+Integration-1))*$F$110,"")</f>
        <v>10253.056402490865</v>
      </c>
      <c r="G131" s="77">
        <f ca="1">IFERROR(AVERAGE(INDEX(INDIRECT("input!" &amp; $G$112 &amp; ":" &amp; $G$112),FirstRowInput+Integration*COUNT($B$114:B130)):INDEX(INDIRECT("input!" &amp; $G$112 &amp; ":" &amp; $G$112),FirstRowInput+Integration*COUNT($B$114:B130)+Integration-1))*$G$110,"")</f>
        <v>68755.953212880951</v>
      </c>
      <c r="H131" s="77">
        <f ca="1">IFERROR(AVERAGE(INDEX(INDIRECT("input!" &amp; $H$112 &amp; ":" &amp; $H$112),FirstRowInput+Integration*COUNT($B$114:B130)):INDEX(INDIRECT("input!" &amp; $H$112 &amp; ":" &amp; $H$112),FirstRowInput+Integration*COUNT($B$114:B130)+Integration-1))*$H$110,"")</f>
        <v>11818.898468808911</v>
      </c>
      <c r="I131" s="42">
        <v>19</v>
      </c>
      <c r="J131" s="74">
        <f t="shared" ca="1" si="139"/>
        <v>19</v>
      </c>
      <c r="K131" s="183">
        <f t="shared" ca="1" si="148"/>
        <v>1</v>
      </c>
      <c r="L131" s="183">
        <f t="shared" ca="1" si="142"/>
        <v>20258.712654174822</v>
      </c>
      <c r="M131" s="183">
        <f t="shared" ca="1" si="146"/>
        <v>31704.08690633309</v>
      </c>
      <c r="N131" s="183">
        <f t="shared" ca="1" si="147"/>
        <v>17663.087818816879</v>
      </c>
      <c r="O131" s="183">
        <f t="shared" ca="1" si="143"/>
        <v>17663.087818816879</v>
      </c>
      <c r="P131" s="183">
        <f t="shared" ca="1" si="144"/>
        <v>68755.953212880951</v>
      </c>
      <c r="Q131" s="183">
        <f t="shared" ca="1" si="140"/>
        <v>10253.056402490865</v>
      </c>
      <c r="R131" s="183">
        <f t="shared" ca="1" si="145"/>
        <v>11818.898468808911</v>
      </c>
      <c r="S131" s="110"/>
      <c r="T131" s="73"/>
      <c r="U131" s="14"/>
      <c r="V131" s="14"/>
      <c r="W131" s="14"/>
      <c r="X131" s="75">
        <f ca="1">IFERROR(IF(AND(MAX($A$114:X130)&gt;X130+1, MAX($A$114:X130)&gt;20),0,IF(AND(AA131="",AD131=""),0,IF(OR(AA131&gt;LimitSignB10, AD131&gt;LimitSignB11),X130+1,0))),"")</f>
        <v>0</v>
      </c>
      <c r="Y131" s="14"/>
      <c r="Z131" s="14"/>
      <c r="AA131" s="14"/>
      <c r="AB131" s="14"/>
      <c r="AC131" s="14"/>
      <c r="AD131" s="14"/>
      <c r="AE131" s="14"/>
      <c r="AF131" s="14"/>
      <c r="AG131" s="14"/>
      <c r="AH131" s="14"/>
      <c r="AI131" s="14"/>
      <c r="AJ131" s="14"/>
      <c r="AK131" s="14"/>
      <c r="AL131" s="14"/>
      <c r="AM131" s="14"/>
      <c r="AN131" s="14"/>
      <c r="AO131" s="14"/>
      <c r="AP131" s="14"/>
    </row>
    <row r="132" spans="1:42" s="81" customFormat="1" ht="15" customHeight="1" x14ac:dyDescent="0.15">
      <c r="A132" s="75">
        <v>0</v>
      </c>
      <c r="B132" s="76">
        <f ca="1">IFERROR(MyTime(INDEX(INDIRECT("input!"&amp;$B$112&amp;":"&amp;$B$112),FirstRowInput+Integration*COUNT($B$114:B131)) )* $B$110,"")</f>
        <v>3292.706048</v>
      </c>
      <c r="C132" s="77">
        <f ca="1">IFERROR(AVERAGE(INDEX(INDIRECT("input!" &amp; $C$112 &amp; ":" &amp; $C$112),FirstRowInput+Integration*COUNT($B$114:B131)):INDEX(INDIRECT("input!" &amp; $C$112 &amp; ":" &amp; $C$112),FirstRowInput+Integration*COUNT($B$114:B131)+Integration-1))*$C$110,"")</f>
        <v>17946.447411828813</v>
      </c>
      <c r="D132" s="77">
        <f ca="1">IFERROR(AVERAGE(INDEX(INDIRECT("input!" &amp; $D$112 &amp; ":" &amp; $D$112),FirstRowInput+Integration*COUNT($B$114:B131)):INDEX(INDIRECT("input!" &amp; $D$112 &amp; ":" &amp; $D$112),FirstRowInput+Integration*COUNT($B$114:B131)+Integration-1))*$D$110,"")</f>
        <v>33668.529227583436</v>
      </c>
      <c r="E132" s="77">
        <f ca="1">IFERROR(AVERAGE(INDEX(INDIRECT("input!" &amp; $E$112 &amp; ":" &amp; $E$112),FirstRowInput+Integration*COUNT($B$114:B131)):INDEX(INDIRECT("input!" &amp; $E$112 &amp; ":" &amp; $E$112),FirstRowInput+Integration*COUNT($B$114:B131)+Integration-1))*$E$110,"")</f>
        <v>18069.464635619654</v>
      </c>
      <c r="F132" s="77">
        <f ca="1">IFERROR(AVERAGE(INDEX(INDIRECT("input!" &amp; $F$112 &amp; ":" &amp; $F$112),FirstRowInput+Integration*COUNT($B$114:B131)):INDEX(INDIRECT("input!" &amp; $F$112 &amp; ":" &amp; $F$112),FirstRowInput+Integration*COUNT($B$114:B131)+Integration-1))*$F$110,"")</f>
        <v>9170.3416571261678</v>
      </c>
      <c r="G132" s="77">
        <f ca="1">IFERROR(AVERAGE(INDEX(INDIRECT("input!" &amp; $G$112 &amp; ":" &amp; $G$112),FirstRowInput+Integration*COUNT($B$114:B131)):INDEX(INDIRECT("input!" &amp; $G$112 &amp; ":" &amp; $G$112),FirstRowInput+Integration*COUNT($B$114:B131)+Integration-1))*$G$110,"")</f>
        <v>68975.644239916131</v>
      </c>
      <c r="H132" s="77">
        <f ca="1">IFERROR(AVERAGE(INDEX(INDIRECT("input!" &amp; $H$112 &amp; ":" &amp; $H$112),FirstRowInput+Integration*COUNT($B$114:B131)):INDEX(INDIRECT("input!" &amp; $H$112 &amp; ":" &amp; $H$112),FirstRowInput+Integration*COUNT($B$114:B131)+Integration-1))*$H$110,"")</f>
        <v>15821.773954965764</v>
      </c>
      <c r="I132" s="42">
        <v>20</v>
      </c>
      <c r="J132" s="74">
        <f t="shared" ca="1" si="139"/>
        <v>20</v>
      </c>
      <c r="K132" s="183">
        <f t="shared" ca="1" si="148"/>
        <v>1</v>
      </c>
      <c r="L132" s="183">
        <f t="shared" ca="1" si="142"/>
        <v>17946.447411828813</v>
      </c>
      <c r="M132" s="183">
        <f t="shared" ca="1" si="146"/>
        <v>33668.529227583436</v>
      </c>
      <c r="N132" s="183">
        <f t="shared" ca="1" si="147"/>
        <v>18069.464635619654</v>
      </c>
      <c r="O132" s="183">
        <f t="shared" ca="1" si="143"/>
        <v>18069.464635619654</v>
      </c>
      <c r="P132" s="183">
        <f t="shared" ca="1" si="144"/>
        <v>68975.644239916131</v>
      </c>
      <c r="Q132" s="183">
        <f t="shared" ca="1" si="140"/>
        <v>9170.3416571261678</v>
      </c>
      <c r="R132" s="183">
        <f t="shared" ca="1" si="145"/>
        <v>15821.773954965764</v>
      </c>
      <c r="S132" s="110"/>
      <c r="T132" s="73"/>
      <c r="U132" s="14"/>
      <c r="V132" s="14"/>
      <c r="W132" s="14"/>
      <c r="X132" s="75">
        <f ca="1">IFERROR(IF(AND(MAX($A$114:X131)&gt;X131+1, MAX($A$114:X131)&gt;20),0,IF(AND(AA132="",AD132=""),0,IF(OR(AA132&gt;LimitSignB10, AD132&gt;LimitSignB11),X131+1,0))),"")</f>
        <v>0</v>
      </c>
      <c r="Y132" s="14"/>
      <c r="Z132" s="14"/>
      <c r="AA132" s="14"/>
      <c r="AB132" s="14"/>
      <c r="AC132" s="14"/>
      <c r="AD132" s="14"/>
      <c r="AE132" s="14"/>
      <c r="AF132" s="14"/>
      <c r="AG132" s="14"/>
      <c r="AH132" s="14"/>
      <c r="AI132" s="14"/>
      <c r="AJ132" s="14"/>
      <c r="AK132" s="14"/>
      <c r="AL132" s="14"/>
      <c r="AM132" s="14"/>
      <c r="AN132" s="14"/>
      <c r="AO132" s="14"/>
      <c r="AP132" s="14"/>
    </row>
    <row r="133" spans="1:42" s="81" customFormat="1" ht="15" customHeight="1" x14ac:dyDescent="0.15">
      <c r="A133" s="75">
        <v>0</v>
      </c>
      <c r="B133" s="76">
        <f ca="1">IFERROR(MyTime(INDEX(INDIRECT("input!"&amp;$B$112&amp;":"&amp;$B$112),FirstRowInput+Integration*COUNT($B$114:B132)) )* $B$110,"")</f>
        <v>3292.7738879999997</v>
      </c>
      <c r="C133" s="77">
        <f ca="1">IFERROR(AVERAGE(INDEX(INDIRECT("input!" &amp; $C$112 &amp; ":" &amp; $C$112),FirstRowInput+Integration*COUNT($B$114:B132)):INDEX(INDIRECT("input!" &amp; $C$112 &amp; ":" &amp; $C$112),FirstRowInput+Integration*COUNT($B$114:B132)+Integration-1))*$C$110,"")</f>
        <v>18653.920914466842</v>
      </c>
      <c r="D133" s="77">
        <f ca="1">IFERROR(AVERAGE(INDEX(INDIRECT("input!" &amp; $D$112 &amp; ":" &amp; $D$112),FirstRowInput+Integration*COUNT($B$114:B132)):INDEX(INDIRECT("input!" &amp; $D$112 &amp; ":" &amp; $D$112),FirstRowInput+Integration*COUNT($B$114:B132)+Integration-1))*$D$110,"")</f>
        <v>34800.052314343557</v>
      </c>
      <c r="E133" s="77">
        <f ca="1">IFERROR(AVERAGE(INDEX(INDIRECT("input!" &amp; $E$112 &amp; ":" &amp; $E$112),FirstRowInput+Integration*COUNT($B$114:B132)):INDEX(INDIRECT("input!" &amp; $E$112 &amp; ":" &amp; $E$112),FirstRowInput+Integration*COUNT($B$114:B132)+Integration-1))*$E$110,"")</f>
        <v>18576.358193557258</v>
      </c>
      <c r="F133" s="77">
        <f ca="1">IFERROR(AVERAGE(INDEX(INDIRECT("input!" &amp; $F$112 &amp; ":" &amp; $F$112),FirstRowInput+Integration*COUNT($B$114:B132)):INDEX(INDIRECT("input!" &amp; $F$112 &amp; ":" &amp; $F$112),FirstRowInput+Integration*COUNT($B$114:B132)+Integration-1))*$F$110,"")</f>
        <v>7072.4101913563491</v>
      </c>
      <c r="G133" s="77">
        <f ca="1">IFERROR(AVERAGE(INDEX(INDIRECT("input!" &amp; $G$112 &amp; ":" &amp; $G$112),FirstRowInput+Integration*COUNT($B$114:B132)):INDEX(INDIRECT("input!" &amp; $G$112 &amp; ":" &amp; $G$112),FirstRowInput+Integration*COUNT($B$114:B132)+Integration-1))*$G$110,"")</f>
        <v>68775.425094113714</v>
      </c>
      <c r="H133" s="77">
        <f ca="1">IFERROR(AVERAGE(INDEX(INDIRECT("input!" &amp; $H$112 &amp; ":" &amp; $H$112),FirstRowInput+Integration*COUNT($B$114:B132)):INDEX(INDIRECT("input!" &amp; $H$112 &amp; ":" &amp; $H$112),FirstRowInput+Integration*COUNT($B$114:B132)+Integration-1))*$H$110,"")</f>
        <v>12502.156440193492</v>
      </c>
      <c r="I133" s="42">
        <v>21</v>
      </c>
      <c r="J133" s="74">
        <f t="shared" ca="1" si="139"/>
        <v>21</v>
      </c>
      <c r="K133" s="183">
        <f t="shared" ca="1" si="148"/>
        <v>1</v>
      </c>
      <c r="L133" s="183">
        <f t="shared" ca="1" si="142"/>
        <v>18653.920914466842</v>
      </c>
      <c r="M133" s="183">
        <f t="shared" ca="1" si="146"/>
        <v>34800.052314343557</v>
      </c>
      <c r="N133" s="183">
        <f t="shared" ca="1" si="147"/>
        <v>18576.358193557258</v>
      </c>
      <c r="O133" s="183">
        <f t="shared" ca="1" si="143"/>
        <v>18576.358193557258</v>
      </c>
      <c r="P133" s="183">
        <f t="shared" ca="1" si="144"/>
        <v>68775.425094113714</v>
      </c>
      <c r="Q133" s="183">
        <f t="shared" ca="1" si="140"/>
        <v>7072.4101913563491</v>
      </c>
      <c r="R133" s="183">
        <f t="shared" ca="1" si="145"/>
        <v>12502.156440193492</v>
      </c>
      <c r="S133" s="110"/>
      <c r="T133" s="73"/>
      <c r="U133" s="14"/>
      <c r="V133" s="14"/>
      <c r="W133" s="14"/>
      <c r="X133" s="75">
        <f ca="1">IFERROR(IF(AND(MAX($A$114:X132)&gt;X132+1, MAX($A$114:X132)&gt;20),0,IF(AND(AA133="",AD133=""),0,IF(OR(AA133&gt;LimitSignB10, AD133&gt;LimitSignB11),X132+1,0))),"")</f>
        <v>0</v>
      </c>
      <c r="Y133" s="14"/>
      <c r="Z133" s="14"/>
      <c r="AA133" s="14"/>
      <c r="AB133" s="14"/>
      <c r="AC133" s="14"/>
      <c r="AD133" s="14"/>
      <c r="AE133" s="14"/>
      <c r="AF133" s="14"/>
      <c r="AG133" s="14"/>
      <c r="AH133" s="14"/>
      <c r="AI133" s="14"/>
      <c r="AJ133" s="14"/>
      <c r="AK133" s="14"/>
      <c r="AL133" s="14"/>
      <c r="AM133" s="14"/>
      <c r="AN133" s="14"/>
      <c r="AO133" s="14"/>
      <c r="AP133" s="14"/>
    </row>
    <row r="134" spans="1:42" s="81" customFormat="1" ht="15" customHeight="1" x14ac:dyDescent="0.15">
      <c r="A134" s="75">
        <v>0</v>
      </c>
      <c r="B134" s="76">
        <f ca="1">IFERROR(MyTime(INDEX(INDIRECT("input!"&amp;$B$112&amp;":"&amp;$B$112),FirstRowInput+Integration*COUNT($B$114:B133)) )* $B$110,"")</f>
        <v>3292.8419840000001</v>
      </c>
      <c r="C134" s="77">
        <f ca="1">IFERROR(AVERAGE(INDEX(INDIRECT("input!" &amp; $C$112 &amp; ":" &amp; $C$112),FirstRowInput+Integration*COUNT($B$114:B133)):INDEX(INDIRECT("input!" &amp; $C$112 &amp; ":" &amp; $C$112),FirstRowInput+Integration*COUNT($B$114:B133)+Integration-1))*$C$110,"")</f>
        <v>19039.079645701815</v>
      </c>
      <c r="D134" s="77">
        <f ca="1">IFERROR(AVERAGE(INDEX(INDIRECT("input!" &amp; $D$112 &amp; ":" &amp; $D$112),FirstRowInput+Integration*COUNT($B$114:B133)):INDEX(INDIRECT("input!" &amp; $D$112 &amp; ":" &amp; $D$112),FirstRowInput+Integration*COUNT($B$114:B133)+Integration-1))*$D$110,"")</f>
        <v>30483.280314306827</v>
      </c>
      <c r="E134" s="77">
        <f ca="1">IFERROR(AVERAGE(INDEX(INDIRECT("input!" &amp; $E$112 &amp; ":" &amp; $E$112),FirstRowInput+Integration*COUNT($B$114:B133)):INDEX(INDIRECT("input!" &amp; $E$112 &amp; ":" &amp; $E$112),FirstRowInput+Integration*COUNT($B$114:B133)+Integration-1))*$E$110,"")</f>
        <v>17420.98988885037</v>
      </c>
      <c r="F134" s="77">
        <f ca="1">IFERROR(AVERAGE(INDEX(INDIRECT("input!" &amp; $F$112 &amp; ":" &amp; $F$112),FirstRowInput+Integration*COUNT($B$114:B133)):INDEX(INDIRECT("input!" &amp; $F$112 &amp; ":" &amp; $F$112),FirstRowInput+Integration*COUNT($B$114:B133)+Integration-1))*$F$110,"")</f>
        <v>15104.15390027126</v>
      </c>
      <c r="G134" s="77">
        <f ca="1">IFERROR(AVERAGE(INDEX(INDIRECT("input!" &amp; $G$112 &amp; ":" &amp; $G$112),FirstRowInput+Integration*COUNT($B$114:B133)):INDEX(INDIRECT("input!" &amp; $G$112 &amp; ":" &amp; $G$112),FirstRowInput+Integration*COUNT($B$114:B133)+Integration-1))*$G$110,"")</f>
        <v>68408.492886166991</v>
      </c>
      <c r="H134" s="77">
        <f ca="1">IFERROR(AVERAGE(INDEX(INDIRECT("input!" &amp; $H$112 &amp; ":" &amp; $H$112),FirstRowInput+Integration*COUNT($B$114:B133)):INDEX(INDIRECT("input!" &amp; $H$112 &amp; ":" &amp; $H$112),FirstRowInput+Integration*COUNT($B$114:B133)+Integration-1))*$H$110,"")</f>
        <v>12138.092205396268</v>
      </c>
      <c r="I134" s="42">
        <v>22</v>
      </c>
      <c r="J134" s="74">
        <f t="shared" ca="1" si="139"/>
        <v>22</v>
      </c>
      <c r="K134" s="183">
        <f t="shared" ca="1" si="148"/>
        <v>1</v>
      </c>
      <c r="L134" s="183">
        <f t="shared" ca="1" si="142"/>
        <v>19039.079645701815</v>
      </c>
      <c r="M134" s="183">
        <f t="shared" ca="1" si="146"/>
        <v>30483.280314306827</v>
      </c>
      <c r="N134" s="183">
        <f t="shared" ca="1" si="147"/>
        <v>17420.98988885037</v>
      </c>
      <c r="O134" s="183">
        <f t="shared" ca="1" si="143"/>
        <v>17420.98988885037</v>
      </c>
      <c r="P134" s="183">
        <f t="shared" ca="1" si="144"/>
        <v>68408.492886166991</v>
      </c>
      <c r="Q134" s="183">
        <f t="shared" ca="1" si="140"/>
        <v>15104.15390027126</v>
      </c>
      <c r="R134" s="183">
        <f t="shared" ca="1" si="145"/>
        <v>12138.092205396268</v>
      </c>
      <c r="S134" s="110"/>
      <c r="T134" s="73"/>
      <c r="U134" s="14"/>
      <c r="V134" s="14"/>
      <c r="W134" s="14"/>
      <c r="X134" s="75">
        <f ca="1">IFERROR(IF(AND(MAX($A$114:X133)&gt;X133+1, MAX($A$114:X133)&gt;20),0,IF(AND(AA134="",AD134=""),0,IF(OR(AA134&gt;LimitSignB10, AD134&gt;LimitSignB11),X133+1,0))),"")</f>
        <v>0</v>
      </c>
      <c r="Y134" s="14"/>
      <c r="Z134" s="14"/>
      <c r="AA134" s="14"/>
      <c r="AB134" s="14"/>
      <c r="AC134" s="14"/>
      <c r="AD134" s="14"/>
      <c r="AE134" s="14"/>
      <c r="AF134" s="14"/>
      <c r="AG134" s="14"/>
      <c r="AH134" s="14"/>
      <c r="AI134" s="14"/>
      <c r="AJ134" s="14"/>
      <c r="AK134" s="14"/>
      <c r="AL134" s="14"/>
      <c r="AM134" s="14"/>
      <c r="AN134" s="14"/>
      <c r="AO134" s="14"/>
      <c r="AP134" s="14"/>
    </row>
    <row r="135" spans="1:42" s="81" customFormat="1" ht="15" customHeight="1" x14ac:dyDescent="0.15">
      <c r="A135" s="75">
        <v>0</v>
      </c>
      <c r="B135" s="76">
        <f ca="1">IFERROR(MyTime(INDEX(INDIRECT("input!"&amp;$B$112&amp;":"&amp;$B$112),FirstRowInput+Integration*COUNT($B$114:B134)) )* $B$110,"")</f>
        <v>3292.9100800000001</v>
      </c>
      <c r="C135" s="77">
        <f ca="1">IFERROR(AVERAGE(INDEX(INDIRECT("input!" &amp; $C$112 &amp; ":" &amp; $C$112),FirstRowInput+Integration*COUNT($B$114:B134)):INDEX(INDIRECT("input!" &amp; $C$112 &amp; ":" &amp; $C$112),FirstRowInput+Integration*COUNT($B$114:B134)+Integration-1))*$C$110,"")</f>
        <v>18453.424028403686</v>
      </c>
      <c r="D135" s="77">
        <f ca="1">IFERROR(AVERAGE(INDEX(INDIRECT("input!" &amp; $D$112 &amp; ":" &amp; $D$112),FirstRowInput+Integration*COUNT($B$114:B134)):INDEX(INDIRECT("input!" &amp; $D$112 &amp; ":" &amp; $D$112),FirstRowInput+Integration*COUNT($B$114:B134)+Integration-1))*$D$110,"")</f>
        <v>29312.215022438213</v>
      </c>
      <c r="E135" s="77">
        <f ca="1">IFERROR(AVERAGE(INDEX(INDIRECT("input!" &amp; $E$112 &amp; ":" &amp; $E$112),FirstRowInput+Integration*COUNT($B$114:B134)):INDEX(INDIRECT("input!" &amp; $E$112 &amp; ":" &amp; $E$112),FirstRowInput+Integration*COUNT($B$114:B134)+Integration-1))*$E$110,"")</f>
        <v>18043.120108169955</v>
      </c>
      <c r="F135" s="77">
        <f ca="1">IFERROR(AVERAGE(INDEX(INDIRECT("input!" &amp; $F$112 &amp; ":" &amp; $F$112),FirstRowInput+Integration*COUNT($B$114:B134)):INDEX(INDIRECT("input!" &amp; $F$112 &amp; ":" &amp; $F$112),FirstRowInput+Integration*COUNT($B$114:B134)+Integration-1))*$F$110,"")</f>
        <v>4840.623903410381</v>
      </c>
      <c r="G135" s="77">
        <f ca="1">IFERROR(AVERAGE(INDEX(INDIRECT("input!" &amp; $G$112 &amp; ":" &amp; $G$112),FirstRowInput+Integration*COUNT($B$114:B134)):INDEX(INDIRECT("input!" &amp; $G$112 &amp; ":" &amp; $G$112),FirstRowInput+Integration*COUNT($B$114:B134)+Integration-1))*$G$110,"")</f>
        <v>70427.312979327398</v>
      </c>
      <c r="H135" s="77">
        <f ca="1">IFERROR(AVERAGE(INDEX(INDIRECT("input!" &amp; $H$112 &amp; ":" &amp; $H$112),FirstRowInput+Integration*COUNT($B$114:B134)):INDEX(INDIRECT("input!" &amp; $H$112 &amp; ":" &amp; $H$112),FirstRowInput+Integration*COUNT($B$114:B134)+Integration-1))*$H$110,"")</f>
        <v>4849.1702135570931</v>
      </c>
      <c r="I135" s="42">
        <v>23</v>
      </c>
      <c r="J135" s="74">
        <f t="shared" ca="1" si="139"/>
        <v>23</v>
      </c>
      <c r="K135" s="183">
        <f t="shared" ca="1" si="148"/>
        <v>1</v>
      </c>
      <c r="L135" s="183">
        <f t="shared" ca="1" si="142"/>
        <v>18453.424028403686</v>
      </c>
      <c r="M135" s="183">
        <f t="shared" ca="1" si="146"/>
        <v>29312.215022438213</v>
      </c>
      <c r="N135" s="183">
        <f t="shared" ca="1" si="147"/>
        <v>18043.120108169955</v>
      </c>
      <c r="O135" s="183">
        <f t="shared" ca="1" si="143"/>
        <v>18043.120108169955</v>
      </c>
      <c r="P135" s="183">
        <f t="shared" ca="1" si="144"/>
        <v>70427.312979327398</v>
      </c>
      <c r="Q135" s="183">
        <f t="shared" ca="1" si="140"/>
        <v>4840.623903410381</v>
      </c>
      <c r="R135" s="183">
        <f t="shared" ca="1" si="145"/>
        <v>4849.1702135570931</v>
      </c>
      <c r="S135" s="110"/>
      <c r="T135" s="73"/>
      <c r="U135" s="14"/>
      <c r="V135" s="14"/>
      <c r="W135" s="14"/>
      <c r="X135" s="75">
        <f ca="1">IFERROR(IF(AND(MAX($A$114:X134)&gt;X134+1, MAX($A$114:X134)&gt;20),0,IF(AND(AA135="",AD135=""),0,IF(OR(AA135&gt;LimitSignB10, AD135&gt;LimitSignB11),X134+1,0))),"")</f>
        <v>0</v>
      </c>
      <c r="Y135" s="14"/>
      <c r="Z135" s="14"/>
      <c r="AA135" s="14"/>
      <c r="AB135" s="14"/>
      <c r="AC135" s="14"/>
      <c r="AD135" s="14"/>
      <c r="AE135" s="14"/>
      <c r="AF135" s="14"/>
      <c r="AG135" s="14"/>
      <c r="AH135" s="14"/>
      <c r="AI135" s="14"/>
      <c r="AJ135" s="14"/>
      <c r="AK135" s="14"/>
      <c r="AL135" s="14"/>
      <c r="AM135" s="14"/>
      <c r="AN135" s="14"/>
      <c r="AO135" s="14"/>
      <c r="AP135" s="14"/>
    </row>
    <row r="136" spans="1:42" s="81" customFormat="1" ht="15" customHeight="1" x14ac:dyDescent="0.15">
      <c r="A136" s="75">
        <v>0</v>
      </c>
      <c r="B136" s="76">
        <f ca="1">IFERROR(MyTime(INDEX(INDIRECT("input!"&amp;$B$112&amp;":"&amp;$B$112),FirstRowInput+Integration*COUNT($B$114:B135)) )* $B$110,"")</f>
        <v>3292.9784319999999</v>
      </c>
      <c r="C136" s="77">
        <f ca="1">IFERROR(AVERAGE(INDEX(INDIRECT("input!" &amp; $C$112 &amp; ":" &amp; $C$112),FirstRowInput+Integration*COUNT($B$114:B135)):INDEX(INDIRECT("input!" &amp; $C$112 &amp; ":" &amp; $C$112),FirstRowInput+Integration*COUNT($B$114:B135)+Integration-1))*$C$110,"")</f>
        <v>17698.483660622667</v>
      </c>
      <c r="D136" s="77">
        <f ca="1">IFERROR(AVERAGE(INDEX(INDIRECT("input!" &amp; $D$112 &amp; ":" &amp; $D$112),FirstRowInput+Integration*COUNT($B$114:B135)):INDEX(INDIRECT("input!" &amp; $D$112 &amp; ":" &amp; $D$112),FirstRowInput+Integration*COUNT($B$114:B135)+Integration-1))*$D$110,"")</f>
        <v>29470.753542586888</v>
      </c>
      <c r="E136" s="77">
        <f ca="1">IFERROR(AVERAGE(INDEX(INDIRECT("input!" &amp; $E$112 &amp; ":" &amp; $E$112),FirstRowInput+Integration*COUNT($B$114:B135)):INDEX(INDIRECT("input!" &amp; $E$112 &amp; ":" &amp; $E$112),FirstRowInput+Integration*COUNT($B$114:B135)+Integration-1))*$E$110,"")</f>
        <v>16369.210123327588</v>
      </c>
      <c r="F136" s="77">
        <f ca="1">IFERROR(AVERAGE(INDEX(INDIRECT("input!" &amp; $F$112 &amp; ":" &amp; $F$112),FirstRowInput+Integration*COUNT($B$114:B135)):INDEX(INDIRECT("input!" &amp; $F$112 &amp; ":" &amp; $F$112),FirstRowInput+Integration*COUNT($B$114:B135)+Integration-1))*$F$110,"")</f>
        <v>10919.671684555235</v>
      </c>
      <c r="G136" s="77">
        <f ca="1">IFERROR(AVERAGE(INDEX(INDIRECT("input!" &amp; $G$112 &amp; ":" &amp; $G$112),FirstRowInput+Integration*COUNT($B$114:B135)):INDEX(INDIRECT("input!" &amp; $G$112 &amp; ":" &amp; $G$112),FirstRowInput+Integration*COUNT($B$114:B135)+Integration-1))*$G$110,"")</f>
        <v>66532.913239066562</v>
      </c>
      <c r="H136" s="77">
        <f ca="1">IFERROR(AVERAGE(INDEX(INDIRECT("input!" &amp; $H$112 &amp; ":" &amp; $H$112),FirstRowInput+Integration*COUNT($B$114:B135)):INDEX(INDIRECT("input!" &amp; $H$112 &amp; ":" &amp; $H$112),FirstRowInput+Integration*COUNT($B$114:B135)+Integration-1))*$H$110,"")</f>
        <v>14952.168565237112</v>
      </c>
      <c r="I136" s="42">
        <v>24</v>
      </c>
      <c r="J136" s="74">
        <f t="shared" ca="1" si="139"/>
        <v>24</v>
      </c>
      <c r="K136" s="183">
        <f t="shared" ca="1" si="148"/>
        <v>1</v>
      </c>
      <c r="L136" s="183">
        <f t="shared" ref="L136:L178" ca="1" si="149">IFERROR(IF($K136=1,C136,""),"")</f>
        <v>17698.483660622667</v>
      </c>
      <c r="M136" s="183">
        <f t="shared" ref="M136:M178" ca="1" si="150">IFERROR(IF($K136=1,D136,""),"")</f>
        <v>29470.753542586888</v>
      </c>
      <c r="N136" s="183">
        <f t="shared" ref="N136:N178" ca="1" si="151">IFERROR(IF($K136=1,E136,""),"")</f>
        <v>16369.210123327588</v>
      </c>
      <c r="O136" s="183">
        <f t="shared" ca="1" si="143"/>
        <v>16369.210123327588</v>
      </c>
      <c r="P136" s="183">
        <f t="shared" ref="P136:P178" ca="1" si="152">IFERROR(IF($K136=1,G136,""),"")</f>
        <v>66532.913239066562</v>
      </c>
      <c r="Q136" s="183">
        <f t="shared" ca="1" si="140"/>
        <v>10919.671684555235</v>
      </c>
      <c r="R136" s="183">
        <f t="shared" ca="1" si="145"/>
        <v>14952.168565237112</v>
      </c>
      <c r="S136" s="110"/>
      <c r="T136" s="73"/>
      <c r="U136" s="14"/>
      <c r="V136" s="14"/>
      <c r="W136" s="14"/>
      <c r="X136" s="75">
        <f ca="1">IFERROR(IF(AND(MAX($A$114:X135)&gt;X135+1, MAX($A$114:X135)&gt;20),0,IF(AND(AA136="",AD136=""),0,IF(OR(AA136&gt;LimitSignB10, AD136&gt;LimitSignB11),X135+1,0))),"")</f>
        <v>0</v>
      </c>
      <c r="Y136" s="14"/>
      <c r="Z136" s="14"/>
      <c r="AA136" s="14"/>
      <c r="AB136" s="14"/>
      <c r="AC136" s="14"/>
      <c r="AD136" s="14"/>
      <c r="AE136" s="14"/>
      <c r="AF136" s="14"/>
      <c r="AG136" s="14"/>
      <c r="AH136" s="14"/>
      <c r="AI136" s="14"/>
      <c r="AJ136" s="14"/>
      <c r="AK136" s="14"/>
      <c r="AL136" s="14"/>
      <c r="AM136" s="14"/>
      <c r="AN136" s="14"/>
      <c r="AO136" s="14"/>
      <c r="AP136" s="14"/>
    </row>
    <row r="137" spans="1:42" s="81" customFormat="1" ht="15" customHeight="1" x14ac:dyDescent="0.15">
      <c r="A137" s="75">
        <v>0</v>
      </c>
      <c r="B137" s="76">
        <f ca="1">IFERROR(MyTime(INDEX(INDIRECT("input!"&amp;$B$112&amp;":"&amp;$B$112),FirstRowInput+Integration*COUNT($B$114:B136)) )* $B$110,"")</f>
        <v>3293.0465279999999</v>
      </c>
      <c r="C137" s="77">
        <f ca="1">IFERROR(AVERAGE(INDEX(INDIRECT("input!" &amp; $C$112 &amp; ":" &amp; $C$112),FirstRowInput+Integration*COUNT($B$114:B136)):INDEX(INDIRECT("input!" &amp; $C$112 &amp; ":" &amp; $C$112),FirstRowInput+Integration*COUNT($B$114:B136)+Integration-1))*$C$110,"")</f>
        <v>16808.676610908438</v>
      </c>
      <c r="D137" s="77">
        <f ca="1">IFERROR(AVERAGE(INDEX(INDIRECT("input!" &amp; $D$112 &amp; ":" &amp; $D$112),FirstRowInput+Integration*COUNT($B$114:B136)):INDEX(INDIRECT("input!" &amp; $D$112 &amp; ":" &amp; $D$112),FirstRowInput+Integration*COUNT($B$114:B136)+Integration-1))*$D$110,"")</f>
        <v>33584.89750045984</v>
      </c>
      <c r="E137" s="77">
        <f ca="1">IFERROR(AVERAGE(INDEX(INDIRECT("input!" &amp; $E$112 &amp; ":" &amp; $E$112),FirstRowInput+Integration*COUNT($B$114:B136)):INDEX(INDIRECT("input!" &amp; $E$112 &amp; ":" &amp; $E$112),FirstRowInput+Integration*COUNT($B$114:B136)+Integration-1))*$E$110,"")</f>
        <v>17532.680607346632</v>
      </c>
      <c r="F137" s="77">
        <f ca="1">IFERROR(AVERAGE(INDEX(INDIRECT("input!" &amp; $F$112 &amp; ":" &amp; $F$112),FirstRowInput+Integration*COUNT($B$114:B136)):INDEX(INDIRECT("input!" &amp; $F$112 &amp; ":" &amp; $F$112),FirstRowInput+Integration*COUNT($B$114:B136)+Integration-1))*$F$110,"")</f>
        <v>14266.510720272969</v>
      </c>
      <c r="G137" s="77">
        <f ca="1">IFERROR(AVERAGE(INDEX(INDIRECT("input!" &amp; $G$112 &amp; ":" &amp; $G$112),FirstRowInput+Integration*COUNT($B$114:B136)):INDEX(INDIRECT("input!" &amp; $G$112 &amp; ":" &amp; $G$112),FirstRowInput+Integration*COUNT($B$114:B136)+Integration-1))*$G$110,"")</f>
        <v>70158.039828712368</v>
      </c>
      <c r="H137" s="77">
        <f ca="1">IFERROR(AVERAGE(INDEX(INDIRECT("input!" &amp; $H$112 &amp; ":" &amp; $H$112),FirstRowInput+Integration*COUNT($B$114:B136)):INDEX(INDIRECT("input!" &amp; $H$112 &amp; ":" &amp; $H$112),FirstRowInput+Integration*COUNT($B$114:B136)+Integration-1))*$H$110,"")</f>
        <v>9320.3185518624468</v>
      </c>
      <c r="I137" s="42">
        <v>25</v>
      </c>
      <c r="J137" s="74">
        <f t="shared" ca="1" si="139"/>
        <v>25</v>
      </c>
      <c r="K137" s="183">
        <f t="shared" ca="1" si="148"/>
        <v>1</v>
      </c>
      <c r="L137" s="183">
        <f t="shared" ca="1" si="149"/>
        <v>16808.676610908438</v>
      </c>
      <c r="M137" s="183">
        <f t="shared" ca="1" si="150"/>
        <v>33584.89750045984</v>
      </c>
      <c r="N137" s="183">
        <f t="shared" ca="1" si="151"/>
        <v>17532.680607346632</v>
      </c>
      <c r="O137" s="183">
        <f t="shared" ca="1" si="143"/>
        <v>17532.680607346632</v>
      </c>
      <c r="P137" s="183">
        <f t="shared" ca="1" si="152"/>
        <v>70158.039828712368</v>
      </c>
      <c r="Q137" s="183">
        <f t="shared" ca="1" si="140"/>
        <v>14266.510720272969</v>
      </c>
      <c r="R137" s="183">
        <f t="shared" ca="1" si="145"/>
        <v>9320.3185518624468</v>
      </c>
      <c r="S137" s="110"/>
      <c r="T137" s="14"/>
      <c r="U137" s="14"/>
      <c r="V137" s="14"/>
      <c r="W137" s="14"/>
      <c r="X137" s="75">
        <f ca="1">IFERROR(IF(AND(MAX($A$114:X136)&gt;X136+1, MAX($A$114:X136)&gt;20),0,IF(AND(AA137="",AD137=""),0,IF(OR(AA137&gt;LimitSignB10, AD137&gt;LimitSignB11),X136+1,0))),"")</f>
        <v>0</v>
      </c>
      <c r="Y137" s="14"/>
      <c r="Z137" s="14"/>
      <c r="AA137" s="14"/>
      <c r="AB137" s="14"/>
      <c r="AC137" s="14"/>
      <c r="AD137" s="14"/>
      <c r="AE137" s="14"/>
      <c r="AF137" s="14"/>
      <c r="AG137" s="14"/>
      <c r="AH137" s="14"/>
      <c r="AI137" s="14"/>
      <c r="AJ137" s="14"/>
      <c r="AK137" s="14"/>
      <c r="AL137" s="14"/>
      <c r="AM137" s="14"/>
      <c r="AN137" s="14"/>
      <c r="AO137" s="14"/>
      <c r="AP137" s="14"/>
    </row>
    <row r="138" spans="1:42" s="81" customFormat="1" ht="15" customHeight="1" x14ac:dyDescent="0.15">
      <c r="A138" s="75">
        <v>0</v>
      </c>
      <c r="B138" s="76">
        <f ca="1">IFERROR(MyTime(INDEX(INDIRECT("input!"&amp;$B$112&amp;":"&amp;$B$112),FirstRowInput+Integration*COUNT($B$114:B137)) )* $B$110,"")</f>
        <v>3293.1146239999998</v>
      </c>
      <c r="C138" s="77">
        <f ca="1">IFERROR(AVERAGE(INDEX(INDIRECT("input!" &amp; $C$112 &amp; ":" &amp; $C$112),FirstRowInput+Integration*COUNT($B$114:B137)):INDEX(INDIRECT("input!" &amp; $C$112 &amp; ":" &amp; $C$112),FirstRowInput+Integration*COUNT($B$114:B137)+Integration-1))*$C$110,"")</f>
        <v>18946.385870862588</v>
      </c>
      <c r="D138" s="77">
        <f ca="1">IFERROR(AVERAGE(INDEX(INDIRECT("input!" &amp; $D$112 &amp; ":" &amp; $D$112),FirstRowInput+Integration*COUNT($B$114:B137)):INDEX(INDIRECT("input!" &amp; $D$112 &amp; ":" &amp; $D$112),FirstRowInput+Integration*COUNT($B$114:B137)+Integration-1))*$D$110,"")</f>
        <v>33100.59188879071</v>
      </c>
      <c r="E138" s="77">
        <f ca="1">IFERROR(AVERAGE(INDEX(INDIRECT("input!" &amp; $E$112 &amp; ":" &amp; $E$112),FirstRowInput+Integration*COUNT($B$114:B137)):INDEX(INDIRECT("input!" &amp; $E$112 &amp; ":" &amp; $E$112),FirstRowInput+Integration*COUNT($B$114:B137)+Integration-1))*$E$110,"")</f>
        <v>18591.824807236699</v>
      </c>
      <c r="F138" s="77">
        <f ca="1">IFERROR(AVERAGE(INDEX(INDIRECT("input!" &amp; $F$112 &amp; ":" &amp; $F$112),FirstRowInput+Integration*COUNT($B$114:B137)):INDEX(INDIRECT("input!" &amp; $F$112 &amp; ":" &amp; $F$112),FirstRowInput+Integration*COUNT($B$114:B137)+Integration-1))*$F$110,"")</f>
        <v>5164.2369776760861</v>
      </c>
      <c r="G138" s="77">
        <f ca="1">IFERROR(AVERAGE(INDEX(INDIRECT("input!" &amp; $G$112 &amp; ":" &amp; $G$112),FirstRowInput+Integration*COUNT($B$114:B137)):INDEX(INDIRECT("input!" &amp; $G$112 &amp; ":" &amp; $G$112),FirstRowInput+Integration*COUNT($B$114:B137)+Integration-1))*$G$110,"")</f>
        <v>70332.188848364356</v>
      </c>
      <c r="H138" s="77">
        <f ca="1">IFERROR(AVERAGE(INDEX(INDIRECT("input!" &amp; $H$112 &amp; ":" &amp; $H$112),FirstRowInput+Integration*COUNT($B$114:B137)):INDEX(INDIRECT("input!" &amp; $H$112 &amp; ":" &amp; $H$112),FirstRowInput+Integration*COUNT($B$114:B137)+Integration-1))*$H$110,"")</f>
        <v>8352.1631707353845</v>
      </c>
      <c r="I138" s="42">
        <v>26</v>
      </c>
      <c r="J138" s="74">
        <f t="shared" ca="1" si="139"/>
        <v>26</v>
      </c>
      <c r="K138" s="183">
        <f t="shared" ca="1" si="148"/>
        <v>1</v>
      </c>
      <c r="L138" s="183">
        <f t="shared" ca="1" si="149"/>
        <v>18946.385870862588</v>
      </c>
      <c r="M138" s="183">
        <f t="shared" ca="1" si="150"/>
        <v>33100.59188879071</v>
      </c>
      <c r="N138" s="183">
        <f t="shared" ca="1" si="151"/>
        <v>18591.824807236699</v>
      </c>
      <c r="O138" s="183">
        <f t="shared" ca="1" si="143"/>
        <v>18591.824807236699</v>
      </c>
      <c r="P138" s="183">
        <f t="shared" ca="1" si="152"/>
        <v>70332.188848364356</v>
      </c>
      <c r="Q138" s="183">
        <f t="shared" ca="1" si="140"/>
        <v>5164.2369776760861</v>
      </c>
      <c r="R138" s="183">
        <f t="shared" ca="1" si="145"/>
        <v>8352.1631707353845</v>
      </c>
      <c r="S138" s="110"/>
      <c r="T138" s="14"/>
      <c r="U138" s="14"/>
      <c r="V138" s="14"/>
      <c r="W138" s="14"/>
      <c r="X138" s="75">
        <f ca="1">IFERROR(IF(AND(MAX($A$114:X137)&gt;X137+1, MAX($A$114:X137)&gt;20),0,IF(AND(AA138="",AD138=""),0,IF(OR(AA138&gt;LimitSignB10, AD138&gt;LimitSignB11),X137+1,0))),"")</f>
        <v>0</v>
      </c>
      <c r="Y138" s="14"/>
      <c r="Z138" s="14"/>
      <c r="AA138" s="14"/>
      <c r="AB138" s="14"/>
      <c r="AC138" s="14"/>
      <c r="AD138" s="14"/>
      <c r="AE138" s="14"/>
      <c r="AF138" s="14"/>
      <c r="AG138" s="14"/>
      <c r="AH138" s="14"/>
      <c r="AI138" s="14"/>
      <c r="AJ138" s="14"/>
      <c r="AK138" s="14"/>
      <c r="AL138" s="14"/>
      <c r="AM138" s="14"/>
      <c r="AN138" s="14"/>
      <c r="AO138" s="14"/>
      <c r="AP138" s="14"/>
    </row>
    <row r="139" spans="1:42" s="81" customFormat="1" ht="15" customHeight="1" x14ac:dyDescent="0.15">
      <c r="A139" s="75">
        <v>0</v>
      </c>
      <c r="B139" s="76">
        <f ca="1">IFERROR(MyTime(INDEX(INDIRECT("input!"&amp;$B$112&amp;":"&amp;$B$112),FirstRowInput+Integration*COUNT($B$114:B138)) )* $B$110,"")</f>
        <v>3293.1827200000002</v>
      </c>
      <c r="C139" s="77">
        <f ca="1">IFERROR(AVERAGE(INDEX(INDIRECT("input!" &amp; $C$112 &amp; ":" &amp; $C$112),FirstRowInput+Integration*COUNT($B$114:B138)):INDEX(INDIRECT("input!" &amp; $C$112 &amp; ":" &amp; $C$112),FirstRowInput+Integration*COUNT($B$114:B138)+Integration-1))*$C$110,"")</f>
        <v>19385.948829294528</v>
      </c>
      <c r="D139" s="77">
        <f ca="1">IFERROR(AVERAGE(INDEX(INDIRECT("input!" &amp; $D$112 &amp; ":" &amp; $D$112),FirstRowInput+Integration*COUNT($B$114:B138)):INDEX(INDIRECT("input!" &amp; $D$112 &amp; ":" &amp; $D$112),FirstRowInput+Integration*COUNT($B$114:B138)+Integration-1))*$D$110,"")</f>
        <v>32216.822019716441</v>
      </c>
      <c r="E139" s="77">
        <f ca="1">IFERROR(AVERAGE(INDEX(INDIRECT("input!" &amp; $E$112 &amp; ":" &amp; $E$112),FirstRowInput+Integration*COUNT($B$114:B138)):INDEX(INDIRECT("input!" &amp; $E$112 &amp; ":" &amp; $E$112),FirstRowInput+Integration*COUNT($B$114:B138)+Integration-1))*$E$110,"")</f>
        <v>20206.302853386373</v>
      </c>
      <c r="F139" s="77">
        <f ca="1">IFERROR(AVERAGE(INDEX(INDIRECT("input!" &amp; $F$112 &amp; ":" &amp; $F$112),FirstRowInput+Integration*COUNT($B$114:B138)):INDEX(INDIRECT("input!" &amp; $F$112 &amp; ":" &amp; $F$112),FirstRowInput+Integration*COUNT($B$114:B138)+Integration-1))*$F$110,"")</f>
        <v>10136.560660839599</v>
      </c>
      <c r="G139" s="77">
        <f ca="1">IFERROR(AVERAGE(INDEX(INDIRECT("input!" &amp; $G$112 &amp; ":" &amp; $G$112),FirstRowInput+Integration*COUNT($B$114:B138)):INDEX(INDIRECT("input!" &amp; $G$112 &amp; ":" &amp; $G$112),FirstRowInput+Integration*COUNT($B$114:B138)+Integration-1))*$G$110,"")</f>
        <v>68485.140663650251</v>
      </c>
      <c r="H139" s="77">
        <f ca="1">IFERROR(AVERAGE(INDEX(INDIRECT("input!" &amp; $H$112 &amp; ":" &amp; $H$112),FirstRowInput+Integration*COUNT($B$114:B138)):INDEX(INDIRECT("input!" &amp; $H$112 &amp; ":" &amp; $H$112),FirstRowInput+Integration*COUNT($B$114:B138)+Integration-1))*$H$110,"")</f>
        <v>9889.7384829865441</v>
      </c>
      <c r="I139" s="42">
        <v>27</v>
      </c>
      <c r="J139" s="74">
        <f t="shared" ca="1" si="139"/>
        <v>27</v>
      </c>
      <c r="K139" s="183">
        <f t="shared" ca="1" si="148"/>
        <v>1</v>
      </c>
      <c r="L139" s="183">
        <f t="shared" ca="1" si="149"/>
        <v>19385.948829294528</v>
      </c>
      <c r="M139" s="183">
        <f t="shared" ca="1" si="150"/>
        <v>32216.822019716441</v>
      </c>
      <c r="N139" s="183">
        <f t="shared" ca="1" si="151"/>
        <v>20206.302853386373</v>
      </c>
      <c r="O139" s="183">
        <f t="shared" ca="1" si="143"/>
        <v>20206.302853386373</v>
      </c>
      <c r="P139" s="183">
        <f t="shared" ca="1" si="152"/>
        <v>68485.140663650251</v>
      </c>
      <c r="Q139" s="183">
        <f t="shared" ca="1" si="140"/>
        <v>10136.560660839599</v>
      </c>
      <c r="R139" s="183">
        <f t="shared" ca="1" si="145"/>
        <v>9889.7384829865441</v>
      </c>
      <c r="S139" s="110"/>
      <c r="T139" s="14"/>
      <c r="U139" s="14"/>
      <c r="V139" s="14"/>
      <c r="W139" s="14"/>
      <c r="X139" s="75">
        <f ca="1">IFERROR(IF(AND(MAX($A$114:X138)&gt;X138+1, MAX($A$114:X138)&gt;20),0,IF(AND(AA139="",AD139=""),0,IF(OR(AA139&gt;LimitSignB10, AD139&gt;LimitSignB11),X138+1,0))),"")</f>
        <v>0</v>
      </c>
      <c r="Y139" s="14"/>
      <c r="Z139" s="14"/>
      <c r="AA139" s="14"/>
      <c r="AB139" s="14"/>
      <c r="AC139" s="14"/>
      <c r="AD139" s="14"/>
      <c r="AE139" s="14"/>
      <c r="AF139" s="14"/>
      <c r="AG139" s="14"/>
      <c r="AH139" s="14"/>
      <c r="AI139" s="14"/>
      <c r="AJ139" s="14"/>
      <c r="AK139" s="14"/>
      <c r="AL139" s="14"/>
      <c r="AM139" s="14"/>
      <c r="AN139" s="14"/>
      <c r="AO139" s="14"/>
      <c r="AP139" s="14"/>
    </row>
    <row r="140" spans="1:42" s="81" customFormat="1" ht="15" customHeight="1" x14ac:dyDescent="0.15">
      <c r="A140" s="75">
        <v>0</v>
      </c>
      <c r="B140" s="76">
        <f ca="1">IFERROR(MyTime(INDEX(INDIRECT("input!"&amp;$B$112&amp;":"&amp;$B$112),FirstRowInput+Integration*COUNT($B$114:B139)) )* $B$110,"")</f>
        <v>3293.25056</v>
      </c>
      <c r="C140" s="77">
        <f ca="1">IFERROR(AVERAGE(INDEX(INDIRECT("input!" &amp; $C$112 &amp; ":" &amp; $C$112),FirstRowInput+Integration*COUNT($B$114:B139)):INDEX(INDIRECT("input!" &amp; $C$112 &amp; ":" &amp; $C$112),FirstRowInput+Integration*COUNT($B$114:B139)+Integration-1))*$C$110,"")</f>
        <v>18675.88150992489</v>
      </c>
      <c r="D140" s="77">
        <f ca="1">IFERROR(AVERAGE(INDEX(INDIRECT("input!" &amp; $D$112 &amp; ":" &amp; $D$112),FirstRowInput+Integration*COUNT($B$114:B139)):INDEX(INDIRECT("input!" &amp; $D$112 &amp; ":" &amp; $D$112),FirstRowInput+Integration*COUNT($B$114:B139)+Integration-1))*$D$110,"")</f>
        <v>33659.023420467936</v>
      </c>
      <c r="E140" s="77">
        <f ca="1">IFERROR(AVERAGE(INDEX(INDIRECT("input!" &amp; $E$112 &amp; ":" &amp; $E$112),FirstRowInput+Integration*COUNT($B$114:B139)):INDEX(INDIRECT("input!" &amp; $E$112 &amp; ":" &amp; $E$112),FirstRowInput+Integration*COUNT($B$114:B139)+Integration-1))*$E$110,"")</f>
        <v>19256.102350269535</v>
      </c>
      <c r="F140" s="77">
        <f ca="1">IFERROR(AVERAGE(INDEX(INDIRECT("input!" &amp; $F$112 &amp; ":" &amp; $F$112),FirstRowInput+Integration*COUNT($B$114:B139)):INDEX(INDIRECT("input!" &amp; $F$112 &amp; ":" &amp; $F$112),FirstRowInput+Integration*COUNT($B$114:B139)+Integration-1))*$F$110,"")</f>
        <v>27085.000229443729</v>
      </c>
      <c r="G140" s="77">
        <f ca="1">IFERROR(AVERAGE(INDEX(INDIRECT("input!" &amp; $G$112 &amp; ":" &amp; $G$112),FirstRowInput+Integration*COUNT($B$114:B139)):INDEX(INDIRECT("input!" &amp; $G$112 &amp; ":" &amp; $G$112),FirstRowInput+Integration*COUNT($B$114:B139)+Integration-1))*$G$110,"")</f>
        <v>75455.245442986648</v>
      </c>
      <c r="H140" s="77">
        <f ca="1">IFERROR(AVERAGE(INDEX(INDIRECT("input!" &amp; $H$112 &amp; ":" &amp; $H$112),FirstRowInput+Integration*COUNT($B$114:B139)):INDEX(INDIRECT("input!" &amp; $H$112 &amp; ":" &amp; $H$112),FirstRowInput+Integration*COUNT($B$114:B139)+Integration-1))*$H$110,"")</f>
        <v>20782.255838260178</v>
      </c>
      <c r="I140" s="42">
        <v>28</v>
      </c>
      <c r="J140" s="74">
        <f t="shared" ca="1" si="139"/>
        <v>28</v>
      </c>
      <c r="K140" s="183">
        <f t="shared" ca="1" si="148"/>
        <v>1</v>
      </c>
      <c r="L140" s="183">
        <f t="shared" ca="1" si="149"/>
        <v>18675.88150992489</v>
      </c>
      <c r="M140" s="183">
        <f t="shared" ca="1" si="150"/>
        <v>33659.023420467936</v>
      </c>
      <c r="N140" s="183">
        <f t="shared" ca="1" si="151"/>
        <v>19256.102350269535</v>
      </c>
      <c r="O140" s="183">
        <f t="shared" ca="1" si="143"/>
        <v>19256.102350269535</v>
      </c>
      <c r="P140" s="183">
        <f t="shared" ca="1" si="152"/>
        <v>75455.245442986648</v>
      </c>
      <c r="Q140" s="183">
        <f t="shared" ca="1" si="140"/>
        <v>27085.000229443729</v>
      </c>
      <c r="R140" s="183">
        <f t="shared" ca="1" si="145"/>
        <v>20782.255838260178</v>
      </c>
      <c r="S140" s="110"/>
      <c r="T140" s="14"/>
      <c r="U140" s="14"/>
      <c r="V140" s="14"/>
      <c r="W140" s="14"/>
      <c r="X140" s="75">
        <f ca="1">IFERROR(IF(AND(MAX($A$114:X139)&gt;X139+1, MAX($A$114:X139)&gt;20),0,IF(AND(AA140="",AD140=""),0,IF(OR(AA140&gt;LimitSignB10, AD140&gt;LimitSignB11),X139+1,0))),"")</f>
        <v>0</v>
      </c>
      <c r="Y140" s="14"/>
      <c r="Z140" s="14"/>
      <c r="AA140" s="14"/>
      <c r="AB140" s="14"/>
      <c r="AC140" s="14"/>
      <c r="AD140" s="14"/>
      <c r="AE140" s="14"/>
      <c r="AF140" s="14"/>
      <c r="AG140" s="14"/>
      <c r="AH140" s="14"/>
      <c r="AI140" s="14"/>
      <c r="AJ140" s="14"/>
      <c r="AK140" s="14"/>
      <c r="AL140" s="14"/>
      <c r="AM140" s="14"/>
      <c r="AN140" s="14"/>
      <c r="AO140" s="14"/>
      <c r="AP140" s="14"/>
    </row>
    <row r="141" spans="1:42" s="81" customFormat="1" ht="15" customHeight="1" x14ac:dyDescent="0.15">
      <c r="A141" s="75">
        <v>0</v>
      </c>
      <c r="B141" s="76">
        <f ca="1">IFERROR(MyTime(INDEX(INDIRECT("input!"&amp;$B$112&amp;":"&amp;$B$112),FirstRowInput+Integration*COUNT($B$114:B140)) )* $B$110,"")</f>
        <v>3293.3186559999999</v>
      </c>
      <c r="C141" s="77">
        <f ca="1">IFERROR(AVERAGE(INDEX(INDIRECT("input!" &amp; $C$112 &amp; ":" &amp; $C$112),FirstRowInput+Integration*COUNT($B$114:B140)):INDEX(INDIRECT("input!" &amp; $C$112 &amp; ":" &amp; $C$112),FirstRowInput+Integration*COUNT($B$114:B140)+Integration-1))*$C$110,"")</f>
        <v>21062.854091420733</v>
      </c>
      <c r="D141" s="77">
        <f ca="1">IFERROR(AVERAGE(INDEX(INDIRECT("input!" &amp; $D$112 &amp; ":" &amp; $D$112),FirstRowInput+Integration*COUNT($B$114:B140)):INDEX(INDIRECT("input!" &amp; $D$112 &amp; ":" &amp; $D$112),FirstRowInput+Integration*COUNT($B$114:B140)+Integration-1))*$D$110,"")</f>
        <v>32891.338183066895</v>
      </c>
      <c r="E141" s="77">
        <f ca="1">IFERROR(AVERAGE(INDEX(INDIRECT("input!" &amp; $E$112 &amp; ":" &amp; $E$112),FirstRowInput+Integration*COUNT($B$114:B140)):INDEX(INDIRECT("input!" &amp; $E$112 &amp; ":" &amp; $E$112),FirstRowInput+Integration*COUNT($B$114:B140)+Integration-1))*$E$110,"")</f>
        <v>18378.595297880438</v>
      </c>
      <c r="F141" s="77">
        <f ca="1">IFERROR(AVERAGE(INDEX(INDIRECT("input!" &amp; $F$112 &amp; ":" &amp; $F$112),FirstRowInput+Integration*COUNT($B$114:B140)):INDEX(INDIRECT("input!" &amp; $F$112 &amp; ":" &amp; $F$112),FirstRowInput+Integration*COUNT($B$114:B140)+Integration-1))*$F$110,"")</f>
        <v>11927.565487688262</v>
      </c>
      <c r="G141" s="77">
        <f ca="1">IFERROR(AVERAGE(INDEX(INDIRECT("input!" &amp; $G$112 &amp; ":" &amp; $G$112),FirstRowInput+Integration*COUNT($B$114:B140)):INDEX(INDIRECT("input!" &amp; $G$112 &amp; ":" &amp; $G$112),FirstRowInput+Integration*COUNT($B$114:B140)+Integration-1))*$G$110,"")</f>
        <v>69948.874563725039</v>
      </c>
      <c r="H141" s="77">
        <f ca="1">IFERROR(AVERAGE(INDEX(INDIRECT("input!" &amp; $H$112 &amp; ":" &amp; $H$112),FirstRowInput+Integration*COUNT($B$114:B140)):INDEX(INDIRECT("input!" &amp; $H$112 &amp; ":" &amp; $H$112),FirstRowInput+Integration*COUNT($B$114:B140)+Integration-1))*$H$110,"")</f>
        <v>9261.8237780126456</v>
      </c>
      <c r="I141" s="42">
        <v>29</v>
      </c>
      <c r="J141" s="74">
        <f t="shared" ca="1" si="139"/>
        <v>29</v>
      </c>
      <c r="K141" s="183">
        <f t="shared" ca="1" si="148"/>
        <v>1</v>
      </c>
      <c r="L141" s="183">
        <f t="shared" ca="1" si="149"/>
        <v>21062.854091420733</v>
      </c>
      <c r="M141" s="183">
        <f t="shared" ca="1" si="150"/>
        <v>32891.338183066895</v>
      </c>
      <c r="N141" s="183">
        <f t="shared" ca="1" si="151"/>
        <v>18378.595297880438</v>
      </c>
      <c r="O141" s="183">
        <f t="shared" ca="1" si="143"/>
        <v>18378.595297880438</v>
      </c>
      <c r="P141" s="183">
        <f t="shared" ca="1" si="152"/>
        <v>69948.874563725039</v>
      </c>
      <c r="Q141" s="183">
        <f t="shared" ca="1" si="140"/>
        <v>11927.565487688262</v>
      </c>
      <c r="R141" s="183">
        <f t="shared" ca="1" si="145"/>
        <v>9261.8237780126456</v>
      </c>
      <c r="S141" s="110"/>
      <c r="T141" s="14"/>
      <c r="U141" s="14"/>
      <c r="V141" s="14"/>
      <c r="W141" s="14"/>
      <c r="X141" s="75">
        <f ca="1">IFERROR(IF(AND(MAX($A$114:X140)&gt;X140+1, MAX($A$114:X140)&gt;20),0,IF(AND(AA141="",AD141=""),0,IF(OR(AA141&gt;LimitSignB10, AD141&gt;LimitSignB11),X140+1,0))),"")</f>
        <v>0</v>
      </c>
      <c r="Y141" s="14"/>
      <c r="Z141" s="14"/>
      <c r="AA141" s="14"/>
      <c r="AB141" s="14"/>
      <c r="AC141" s="14"/>
      <c r="AD141" s="14"/>
      <c r="AE141" s="14"/>
      <c r="AF141" s="14"/>
      <c r="AG141" s="14"/>
      <c r="AH141" s="14"/>
      <c r="AI141" s="14"/>
      <c r="AJ141" s="14"/>
      <c r="AK141" s="14"/>
      <c r="AL141" s="14"/>
      <c r="AM141" s="14"/>
      <c r="AN141" s="14"/>
      <c r="AO141" s="14"/>
      <c r="AP141" s="14"/>
    </row>
    <row r="142" spans="1:42" s="81" customFormat="1" ht="15" customHeight="1" thickBot="1" x14ac:dyDescent="0.2">
      <c r="A142" s="75">
        <v>0</v>
      </c>
      <c r="B142" s="76">
        <f ca="1">IFERROR(MyTime(INDEX(INDIRECT("input!"&amp;$B$112&amp;":"&amp;$B$112),FirstRowInput+Integration*COUNT($B$114:B141)) )* $B$110,"")</f>
        <v>3293.3867519999999</v>
      </c>
      <c r="C142" s="77">
        <f ca="1">IFERROR(AVERAGE(INDEX(INDIRECT("input!" &amp; $C$112 &amp; ":" &amp; $C$112),FirstRowInput+Integration*COUNT($B$114:B141)):INDEX(INDIRECT("input!" &amp; $C$112 &amp; ":" &amp; $C$112),FirstRowInput+Integration*COUNT($B$114:B141)+Integration-1))*$C$110,"")</f>
        <v>19296.39529117323</v>
      </c>
      <c r="D142" s="77">
        <f ca="1">IFERROR(AVERAGE(INDEX(INDIRECT("input!" &amp; $D$112 &amp; ":" &amp; $D$112),FirstRowInput+Integration*COUNT($B$114:B141)):INDEX(INDIRECT("input!" &amp; $D$112 &amp; ":" &amp; $D$112),FirstRowInput+Integration*COUNT($B$114:B141)+Integration-1))*$D$110,"")</f>
        <v>33572.945330125345</v>
      </c>
      <c r="E142" s="77">
        <f ca="1">IFERROR(AVERAGE(INDEX(INDIRECT("input!" &amp; $E$112 &amp; ":" &amp; $E$112),FirstRowInput+Integration*COUNT($B$114:B141)):INDEX(INDIRECT("input!" &amp; $E$112 &amp; ":" &amp; $E$112),FirstRowInput+Integration*COUNT($B$114:B141)+Integration-1))*$E$110,"")</f>
        <v>17025.265440975665</v>
      </c>
      <c r="F142" s="77">
        <f ca="1">IFERROR(AVERAGE(INDEX(INDIRECT("input!" &amp; $F$112 &amp; ":" &amp; $F$112),FirstRowInput+Integration*COUNT($B$114:B141)):INDEX(INDIRECT("input!" &amp; $F$112 &amp; ":" &amp; $F$112),FirstRowInput+Integration*COUNT($B$114:B141)+Integration-1))*$F$110,"")</f>
        <v>5799.9916726833371</v>
      </c>
      <c r="G142" s="77">
        <f ca="1">IFERROR(AVERAGE(INDEX(INDIRECT("input!" &amp; $G$112 &amp; ":" &amp; $G$112),FirstRowInput+Integration*COUNT($B$114:B141)):INDEX(INDIRECT("input!" &amp; $G$112 &amp; ":" &amp; $G$112),FirstRowInput+Integration*COUNT($B$114:B141)+Integration-1))*$G$110,"")</f>
        <v>68390.399483132685</v>
      </c>
      <c r="H142" s="77">
        <f ca="1">IFERROR(AVERAGE(INDEX(INDIRECT("input!" &amp; $H$112 &amp; ":" &amp; $H$112),FirstRowInput+Integration*COUNT($B$114:B141)):INDEX(INDIRECT("input!" &amp; $H$112 &amp; ":" &amp; $H$112),FirstRowInput+Integration*COUNT($B$114:B141)+Integration-1))*$H$110,"")</f>
        <v>11530.868207335028</v>
      </c>
      <c r="I142" s="42">
        <v>30</v>
      </c>
      <c r="J142" s="74">
        <f t="shared" ca="1" si="139"/>
        <v>30</v>
      </c>
      <c r="K142" s="183">
        <f t="shared" ca="1" si="148"/>
        <v>1</v>
      </c>
      <c r="L142" s="183">
        <f t="shared" ca="1" si="149"/>
        <v>19296.39529117323</v>
      </c>
      <c r="M142" s="183">
        <f t="shared" ca="1" si="150"/>
        <v>33572.945330125345</v>
      </c>
      <c r="N142" s="183">
        <f t="shared" ca="1" si="151"/>
        <v>17025.265440975665</v>
      </c>
      <c r="O142" s="183">
        <f t="shared" ca="1" si="143"/>
        <v>17025.265440975665</v>
      </c>
      <c r="P142" s="183">
        <f t="shared" ca="1" si="152"/>
        <v>68390.399483132685</v>
      </c>
      <c r="Q142" s="183">
        <f t="shared" ca="1" si="140"/>
        <v>5799.9916726833371</v>
      </c>
      <c r="R142" s="183">
        <f t="shared" ca="1" si="145"/>
        <v>11530.868207335028</v>
      </c>
      <c r="S142" s="110"/>
      <c r="T142" s="14"/>
      <c r="U142" s="14"/>
      <c r="V142" s="14"/>
      <c r="W142" s="14"/>
      <c r="X142" s="75">
        <f ca="1">IFERROR(IF(AND(MAX($A$114:X141)&gt;X141+1, MAX($A$114:X141)&gt;20),0,IF(AND(AA142="",AD142=""),0,IF(OR(AA142&gt;LimitSignB10, AD142&gt;LimitSignB11),X141+1,0))),"")</f>
        <v>0</v>
      </c>
      <c r="Y142" s="14"/>
      <c r="Z142" s="14"/>
      <c r="AA142" s="14"/>
      <c r="AB142" s="14"/>
      <c r="AC142" s="14"/>
      <c r="AD142" s="14"/>
      <c r="AE142" s="14"/>
      <c r="AF142" s="14"/>
      <c r="AG142" s="14"/>
      <c r="AH142" s="14"/>
      <c r="AI142" s="14"/>
      <c r="AJ142" s="14"/>
      <c r="AK142" s="14"/>
      <c r="AL142" s="14"/>
      <c r="AM142" s="14"/>
      <c r="AN142" s="14"/>
      <c r="AO142" s="14"/>
      <c r="AP142" s="14"/>
    </row>
    <row r="143" spans="1:42" s="81" customFormat="1" ht="15" customHeight="1" thickBot="1" x14ac:dyDescent="0.2">
      <c r="A143" s="75">
        <v>0</v>
      </c>
      <c r="B143" s="76">
        <f ca="1">IFERROR(MyTime(INDEX(INDIRECT("input!"&amp;$B$112&amp;":"&amp;$B$112),FirstRowInput+Integration*COUNT($B$114:B142)) )* $B$110,"")</f>
        <v>3293.4551039999997</v>
      </c>
      <c r="C143" s="77">
        <f ca="1">IFERROR(AVERAGE(INDEX(INDIRECT("input!" &amp; $C$112 &amp; ":" &amp; $C$112),FirstRowInput+Integration*COUNT($B$114:B142)):INDEX(INDIRECT("input!" &amp; $C$112 &amp; ":" &amp; $C$112),FirstRowInput+Integration*COUNT($B$114:B142)+Integration-1))*$C$110,"")</f>
        <v>18635.340771316587</v>
      </c>
      <c r="D143" s="77">
        <f ca="1">IFERROR(AVERAGE(INDEX(INDIRECT("input!" &amp; $D$112 &amp; ":" &amp; $D$112),FirstRowInput+Integration*COUNT($B$114:B142)):INDEX(INDIRECT("input!" &amp; $D$112 &amp; ":" &amp; $D$112),FirstRowInput+Integration*COUNT($B$114:B142)+Integration-1))*$D$110,"")</f>
        <v>30818.590229114998</v>
      </c>
      <c r="E143" s="77">
        <f ca="1">IFERROR(AVERAGE(INDEX(INDIRECT("input!" &amp; $E$112 &amp; ":" &amp; $E$112),FirstRowInput+Integration*COUNT($B$114:B142)):INDEX(INDIRECT("input!" &amp; $E$112 &amp; ":" &amp; $E$112),FirstRowInput+Integration*COUNT($B$114:B142)+Integration-1))*$E$110,"")</f>
        <v>17404.498447317819</v>
      </c>
      <c r="F143" s="77">
        <f ca="1">IFERROR(AVERAGE(INDEX(INDIRECT("input!" &amp; $F$112 &amp; ":" &amp; $F$112),FirstRowInput+Integration*COUNT($B$114:B142)):INDEX(INDIRECT("input!" &amp; $F$112 &amp; ":" &amp; $F$112),FirstRowInput+Integration*COUNT($B$114:B142)+Integration-1))*$F$110,"")</f>
        <v>7711.4081876201144</v>
      </c>
      <c r="G143" s="77">
        <f ca="1">IFERROR(AVERAGE(INDEX(INDIRECT("input!" &amp; $G$112 &amp; ":" &amp; $G$112),FirstRowInput+Integration*COUNT($B$114:B142)):INDEX(INDIRECT("input!" &amp; $G$112 &amp; ":" &amp; $G$112),FirstRowInput+Integration*COUNT($B$114:B142)+Integration-1))*$G$110,"")</f>
        <v>67837.766023466407</v>
      </c>
      <c r="H143" s="77">
        <f ca="1">IFERROR(AVERAGE(INDEX(INDIRECT("input!" &amp; $H$112 &amp; ":" &amp; $H$112),FirstRowInput+Integration*COUNT($B$114:B142)):INDEX(INDIRECT("input!" &amp; $H$112 &amp; ":" &amp; $H$112),FirstRowInput+Integration*COUNT($B$114:B142)+Integration-1))*$H$110,"")</f>
        <v>-1207.1144274285407</v>
      </c>
      <c r="I143" s="42">
        <v>31</v>
      </c>
      <c r="J143" s="74">
        <f t="shared" ca="1" si="139"/>
        <v>31</v>
      </c>
      <c r="K143" s="183">
        <f t="shared" ca="1" si="148"/>
        <v>1</v>
      </c>
      <c r="L143" s="183">
        <f t="shared" ca="1" si="149"/>
        <v>18635.340771316587</v>
      </c>
      <c r="M143" s="183">
        <f t="shared" ca="1" si="150"/>
        <v>30818.590229114998</v>
      </c>
      <c r="N143" s="183">
        <f t="shared" ca="1" si="151"/>
        <v>17404.498447317819</v>
      </c>
      <c r="O143" s="183">
        <f t="shared" ca="1" si="143"/>
        <v>17404.498447317819</v>
      </c>
      <c r="P143" s="183">
        <f t="shared" ca="1" si="152"/>
        <v>67837.766023466407</v>
      </c>
      <c r="Q143" s="183">
        <f t="shared" ca="1" si="140"/>
        <v>7711.4081876201144</v>
      </c>
      <c r="R143" s="183">
        <f t="shared" ca="1" si="145"/>
        <v>-1207.1144274285407</v>
      </c>
      <c r="S143" s="756" t="s">
        <v>596</v>
      </c>
      <c r="T143" s="757">
        <v>10.478</v>
      </c>
      <c r="U143" s="758">
        <v>10.9</v>
      </c>
      <c r="V143" s="14"/>
      <c r="W143" s="14"/>
      <c r="X143" s="75">
        <f ca="1">IFERROR(IF(AND(MAX($A$114:X142)&gt;X142+1, MAX($A$114:X142)&gt;20),0,IF(AND(AA143="",AD143=""),0,IF(OR(AA143&gt;LimitSignB10, AD143&gt;LimitSignB11),X142+1,0))),"")</f>
        <v>0</v>
      </c>
      <c r="Y143" s="14"/>
      <c r="Z143" s="14"/>
      <c r="AA143" s="14"/>
      <c r="AB143" s="14"/>
      <c r="AC143" s="14"/>
      <c r="AD143" s="14"/>
      <c r="AE143" s="14"/>
      <c r="AF143" s="14"/>
      <c r="AG143" s="14"/>
      <c r="AH143" s="14"/>
      <c r="AI143" s="14"/>
      <c r="AJ143" s="14"/>
      <c r="AK143" s="14"/>
      <c r="AL143" s="14"/>
      <c r="AM143" s="14"/>
      <c r="AN143" s="14"/>
      <c r="AO143" s="14"/>
      <c r="AP143" s="14"/>
    </row>
    <row r="144" spans="1:42" s="81" customFormat="1" ht="15" customHeight="1" x14ac:dyDescent="0.15">
      <c r="A144" s="75">
        <v>0</v>
      </c>
      <c r="B144" s="76">
        <f ca="1">IFERROR(MyTime(INDEX(INDIRECT("input!"&amp;$B$112&amp;":"&amp;$B$112),FirstRowInput+Integration*COUNT($B$114:B143)) )* $B$110,"")</f>
        <v>3293.5229440000003</v>
      </c>
      <c r="C144" s="77">
        <f ca="1">IFERROR(AVERAGE(INDEX(INDIRECT("input!" &amp; $C$112 &amp; ":" &amp; $C$112),FirstRowInput+Integration*COUNT($B$114:B143)):INDEX(INDIRECT("input!" &amp; $C$112 &amp; ":" &amp; $C$112),FirstRowInput+Integration*COUNT($B$114:B143)+Integration-1))*$C$110,"")</f>
        <v>18683.354207508684</v>
      </c>
      <c r="D144" s="77">
        <f ca="1">IFERROR(AVERAGE(INDEX(INDIRECT("input!" &amp; $D$112 &amp; ":" &amp; $D$112),FirstRowInput+Integration*COUNT($B$114:B143)):INDEX(INDIRECT("input!" &amp; $D$112 &amp; ":" &amp; $D$112),FirstRowInput+Integration*COUNT($B$114:B143)+Integration-1))*$D$110,"")</f>
        <v>32406.351929904515</v>
      </c>
      <c r="E144" s="77">
        <f ca="1">IFERROR(AVERAGE(INDEX(INDIRECT("input!" &amp; $E$112 &amp; ":" &amp; $E$112),FirstRowInput+Integration*COUNT($B$114:B143)):INDEX(INDIRECT("input!" &amp; $E$112 &amp; ":" &amp; $E$112),FirstRowInput+Integration*COUNT($B$114:B143)+Integration-1))*$E$110,"")</f>
        <v>17146.822813493814</v>
      </c>
      <c r="F144" s="77">
        <f ca="1">IFERROR(AVERAGE(INDEX(INDIRECT("input!" &amp; $F$112 &amp; ":" &amp; $F$112),FirstRowInput+Integration*COUNT($B$114:B143)):INDEX(INDIRECT("input!" &amp; $F$112 &amp; ":" &amp; $F$112),FirstRowInput+Integration*COUNT($B$114:B143)+Integration-1))*$F$110,"")</f>
        <v>7236.660854896887</v>
      </c>
      <c r="G144" s="77">
        <f ca="1">IFERROR(AVERAGE(INDEX(INDIRECT("input!" &amp; $G$112 &amp; ":" &amp; $G$112),FirstRowInput+Integration*COUNT($B$114:B143)):INDEX(INDIRECT("input!" &amp; $G$112 &amp; ":" &amp; $G$112),FirstRowInput+Integration*COUNT($B$114:B143)+Integration-1))*$G$110,"")</f>
        <v>69150.469538058489</v>
      </c>
      <c r="H144" s="77">
        <f ca="1">IFERROR(AVERAGE(INDEX(INDIRECT("input!" &amp; $H$112 &amp; ":" &amp; $H$112),FirstRowInput+Integration*COUNT($B$114:B143)):INDEX(INDIRECT("input!" &amp; $H$112 &amp; ":" &amp; $H$112),FirstRowInput+Integration*COUNT($B$114:B143)+Integration-1))*$H$110,"")</f>
        <v>8112.9083657293786</v>
      </c>
      <c r="I144" s="42">
        <v>32</v>
      </c>
      <c r="J144" s="74">
        <f t="shared" ca="1" si="139"/>
        <v>32</v>
      </c>
      <c r="K144" s="183">
        <f t="shared" ca="1" si="148"/>
        <v>1</v>
      </c>
      <c r="L144" s="183">
        <f t="shared" ca="1" si="149"/>
        <v>18683.354207508684</v>
      </c>
      <c r="M144" s="183">
        <f t="shared" ca="1" si="150"/>
        <v>32406.351929904515</v>
      </c>
      <c r="N144" s="183">
        <f t="shared" ca="1" si="151"/>
        <v>17146.822813493814</v>
      </c>
      <c r="O144" s="183">
        <f t="shared" ca="1" si="143"/>
        <v>17146.822813493814</v>
      </c>
      <c r="P144" s="183">
        <f t="shared" ca="1" si="152"/>
        <v>69150.469538058489</v>
      </c>
      <c r="Q144" s="183">
        <f t="shared" ca="1" si="140"/>
        <v>7236.660854896887</v>
      </c>
      <c r="R144" s="183">
        <f t="shared" ca="1" si="145"/>
        <v>8112.9083657293786</v>
      </c>
      <c r="T144" s="108"/>
      <c r="U144" s="108"/>
      <c r="V144" s="14"/>
      <c r="W144" s="14"/>
      <c r="X144" s="75">
        <f ca="1">IFERROR(IF(AND(MAX($A$114:X143)&gt;X143+1, MAX($A$114:X143)&gt;20),0,IF(AND(AA144="",AD144=""),0,IF(OR(AA144&gt;LimitSignB10, AD144&gt;LimitSignB11),X143+1,0))),"")</f>
        <v>0</v>
      </c>
      <c r="Y144" s="14"/>
      <c r="Z144" s="14"/>
      <c r="AA144" s="14"/>
      <c r="AB144" s="14"/>
      <c r="AC144" s="14"/>
      <c r="AD144" s="14"/>
      <c r="AE144" s="14"/>
      <c r="AF144" s="14"/>
      <c r="AG144" s="14"/>
      <c r="AH144" s="14"/>
      <c r="AI144" s="14"/>
      <c r="AJ144" s="14"/>
      <c r="AK144" s="14"/>
      <c r="AL144" s="14"/>
      <c r="AM144" s="14"/>
      <c r="AN144" s="14"/>
      <c r="AO144" s="14"/>
      <c r="AP144" s="14"/>
    </row>
    <row r="145" spans="1:42" s="81" customFormat="1" ht="15" customHeight="1" x14ac:dyDescent="0.15">
      <c r="A145" s="75">
        <v>0</v>
      </c>
      <c r="B145" s="76">
        <f ca="1">IFERROR(MyTime(INDEX(INDIRECT("input!"&amp;$B$112&amp;":"&amp;$B$112),FirstRowInput+Integration*COUNT($B$114:B144)) )* $B$110,"")</f>
        <v>3293.5910400000002</v>
      </c>
      <c r="C145" s="77">
        <f ca="1">IFERROR(AVERAGE(INDEX(INDIRECT("input!" &amp; $C$112 &amp; ":" &amp; $C$112),FirstRowInput+Integration*COUNT($B$114:B144)):INDEX(INDIRECT("input!" &amp; $C$112 &amp; ":" &amp; $C$112),FirstRowInput+Integration*COUNT($B$114:B144)+Integration-1))*$C$110,"")</f>
        <v>23397.554528973269</v>
      </c>
      <c r="D145" s="77">
        <f ca="1">IFERROR(AVERAGE(INDEX(INDIRECT("input!" &amp; $D$112 &amp; ":" &amp; $D$112),FirstRowInput+Integration*COUNT($B$114:B144)):INDEX(INDIRECT("input!" &amp; $D$112 &amp; ":" &amp; $D$112),FirstRowInput+Integration*COUNT($B$114:B144)+Integration-1))*$D$110,"")</f>
        <v>35255.254378484467</v>
      </c>
      <c r="E145" s="77">
        <f ca="1">IFERROR(AVERAGE(INDEX(INDIRECT("input!" &amp; $E$112 &amp; ":" &amp; $E$112),FirstRowInput+Integration*COUNT($B$114:B144)):INDEX(INDIRECT("input!" &amp; $E$112 &amp; ":" &amp; $E$112),FirstRowInput+Integration*COUNT($B$114:B144)+Integration-1))*$E$110,"")</f>
        <v>20259.170719421149</v>
      </c>
      <c r="F145" s="77">
        <f ca="1">IFERROR(AVERAGE(INDEX(INDIRECT("input!" &amp; $F$112 &amp; ":" &amp; $F$112),FirstRowInput+Integration*COUNT($B$114:B144)):INDEX(INDIRECT("input!" &amp; $F$112 &amp; ":" &amp; $F$112),FirstRowInput+Integration*COUNT($B$114:B144)+Integration-1))*$F$110,"")</f>
        <v>16546.19319589411</v>
      </c>
      <c r="G145" s="77">
        <f ca="1">IFERROR(AVERAGE(INDEX(INDIRECT("input!" &amp; $G$112 &amp; ":" &amp; $G$112),FirstRowInput+Integration*COUNT($B$114:B144)):INDEX(INDIRECT("input!" &amp; $G$112 &amp; ":" &amp; $G$112),FirstRowInput+Integration*COUNT($B$114:B144)+Integration-1))*$G$110,"")</f>
        <v>72284.151283284722</v>
      </c>
      <c r="H145" s="77">
        <f ca="1">IFERROR(AVERAGE(INDEX(INDIRECT("input!" &amp; $H$112 &amp; ":" &amp; $H$112),FirstRowInput+Integration*COUNT($B$114:B144)):INDEX(INDIRECT("input!" &amp; $H$112 &amp; ":" &amp; $H$112),FirstRowInput+Integration*COUNT($B$114:B144)+Integration-1))*$H$110,"")</f>
        <v>8674.3285214256521</v>
      </c>
      <c r="I145" s="42">
        <v>33</v>
      </c>
      <c r="J145" s="74">
        <f t="shared" ca="1" si="139"/>
        <v>33</v>
      </c>
      <c r="K145" s="183">
        <f t="shared" ca="1" si="148"/>
        <v>1</v>
      </c>
      <c r="L145" s="183">
        <f t="shared" ca="1" si="149"/>
        <v>23397.554528973269</v>
      </c>
      <c r="M145" s="183">
        <f t="shared" ca="1" si="150"/>
        <v>35255.254378484467</v>
      </c>
      <c r="N145" s="183">
        <f t="shared" ca="1" si="151"/>
        <v>20259.170719421149</v>
      </c>
      <c r="O145" s="183">
        <f t="shared" ca="1" si="143"/>
        <v>20259.170719421149</v>
      </c>
      <c r="P145" s="183">
        <f t="shared" ca="1" si="152"/>
        <v>72284.151283284722</v>
      </c>
      <c r="Q145" s="183">
        <f t="shared" ca="1" si="140"/>
        <v>16546.19319589411</v>
      </c>
      <c r="R145" s="183">
        <f t="shared" ca="1" si="145"/>
        <v>8674.3285214256521</v>
      </c>
      <c r="T145" s="108"/>
      <c r="U145" s="108"/>
      <c r="V145" s="14"/>
      <c r="W145" s="14"/>
      <c r="X145" s="75">
        <f ca="1">IFERROR(IF(AND(MAX($A$114:X144)&gt;X144+1, MAX($A$114:X144)&gt;20),0,IF(AND(AA145="",AD145=""),0,IF(OR(AA145&gt;LimitSignB10, AD145&gt;LimitSignB11),X144+1,0))),"")</f>
        <v>0</v>
      </c>
      <c r="Y145" s="14"/>
      <c r="Z145" s="14"/>
      <c r="AA145" s="14"/>
      <c r="AB145" s="14"/>
      <c r="AC145" s="14"/>
      <c r="AD145" s="14"/>
      <c r="AE145" s="14"/>
      <c r="AF145" s="14"/>
      <c r="AG145" s="14"/>
      <c r="AH145" s="14"/>
      <c r="AI145" s="14"/>
      <c r="AJ145" s="14"/>
      <c r="AK145" s="14"/>
      <c r="AL145" s="14"/>
      <c r="AM145" s="14"/>
      <c r="AN145" s="14"/>
      <c r="AO145" s="14"/>
      <c r="AP145" s="14"/>
    </row>
    <row r="146" spans="1:42" s="81" customFormat="1" ht="15" customHeight="1" x14ac:dyDescent="0.15">
      <c r="A146" s="75">
        <v>0</v>
      </c>
      <c r="B146" s="76">
        <f ca="1">IFERROR(MyTime(INDEX(INDIRECT("input!"&amp;$B$112&amp;":"&amp;$B$112),FirstRowInput+Integration*COUNT($B$114:B145)) )* $B$110,"")</f>
        <v>3293.65888</v>
      </c>
      <c r="C146" s="77">
        <f ca="1">IFERROR(AVERAGE(INDEX(INDIRECT("input!" &amp; $C$112 &amp; ":" &amp; $C$112),FirstRowInput+Integration*COUNT($B$114:B145)):INDEX(INDIRECT("input!" &amp; $C$112 &amp; ":" &amp; $C$112),FirstRowInput+Integration*COUNT($B$114:B145)+Integration-1))*$C$110,"")</f>
        <v>24494.811918879059</v>
      </c>
      <c r="D146" s="77">
        <f ca="1">IFERROR(AVERAGE(INDEX(INDIRECT("input!" &amp; $D$112 &amp; ":" &amp; $D$112),FirstRowInput+Integration*COUNT($B$114:B145)):INDEX(INDIRECT("input!" &amp; $D$112 &amp; ":" &amp; $D$112),FirstRowInput+Integration*COUNT($B$114:B145)+Integration-1))*$D$110,"")</f>
        <v>33655.284698869706</v>
      </c>
      <c r="E146" s="77">
        <f ca="1">IFERROR(AVERAGE(INDEX(INDIRECT("input!" &amp; $E$112 &amp; ":" &amp; $E$112),FirstRowInput+Integration*COUNT($B$114:B145)):INDEX(INDIRECT("input!" &amp; $E$112 &amp; ":" &amp; $E$112),FirstRowInput+Integration*COUNT($B$114:B145)+Integration-1))*$E$110,"")</f>
        <v>21276.736269206307</v>
      </c>
      <c r="F146" s="77">
        <f ca="1">IFERROR(AVERAGE(INDEX(INDIRECT("input!" &amp; $F$112 &amp; ":" &amp; $F$112),FirstRowInput+Integration*COUNT($B$114:B145)):INDEX(INDIRECT("input!" &amp; $F$112 &amp; ":" &amp; $F$112),FirstRowInput+Integration*COUNT($B$114:B145)+Integration-1))*$F$110,"")</f>
        <v>23381.145526992488</v>
      </c>
      <c r="G146" s="77">
        <f ca="1">IFERROR(AVERAGE(INDEX(INDIRECT("input!" &amp; $G$112 &amp; ":" &amp; $G$112),FirstRowInput+Integration*COUNT($B$114:B145)):INDEX(INDIRECT("input!" &amp; $G$112 &amp; ":" &amp; $G$112),FirstRowInput+Integration*COUNT($B$114:B145)+Integration-1))*$G$110,"")</f>
        <v>71743.202880497629</v>
      </c>
      <c r="H146" s="77">
        <f ca="1">IFERROR(AVERAGE(INDEX(INDIRECT("input!" &amp; $H$112 &amp; ":" &amp; $H$112),FirstRowInput+Integration*COUNT($B$114:B145)):INDEX(INDIRECT("input!" &amp; $H$112 &amp; ":" &amp; $H$112),FirstRowInput+Integration*COUNT($B$114:B145)+Integration-1))*$H$110,"")</f>
        <v>8146.8364722479901</v>
      </c>
      <c r="I146" s="42">
        <v>34</v>
      </c>
      <c r="J146" s="74">
        <f t="shared" ca="1" si="139"/>
        <v>34</v>
      </c>
      <c r="K146" s="183">
        <f t="shared" ca="1" si="148"/>
        <v>1</v>
      </c>
      <c r="L146" s="183">
        <f t="shared" ca="1" si="149"/>
        <v>24494.811918879059</v>
      </c>
      <c r="M146" s="183">
        <f t="shared" ca="1" si="150"/>
        <v>33655.284698869706</v>
      </c>
      <c r="N146" s="183">
        <f t="shared" ca="1" si="151"/>
        <v>21276.736269206307</v>
      </c>
      <c r="O146" s="183">
        <f t="shared" ca="1" si="143"/>
        <v>21276.736269206307</v>
      </c>
      <c r="P146" s="183">
        <f t="shared" ca="1" si="152"/>
        <v>71743.202880497629</v>
      </c>
      <c r="Q146" s="183">
        <f t="shared" ca="1" si="140"/>
        <v>23381.145526992488</v>
      </c>
      <c r="R146" s="183">
        <f t="shared" ca="1" si="145"/>
        <v>8146.8364722479901</v>
      </c>
      <c r="T146" s="108"/>
      <c r="U146" s="108"/>
      <c r="V146" s="14"/>
      <c r="W146" s="14"/>
      <c r="X146" s="75">
        <f ca="1">IFERROR(IF(AND(MAX($A$114:X145)&gt;X145+1, MAX($A$114:X145)&gt;20),0,IF(AND(AA146="",AD146=""),0,IF(OR(AA146&gt;LimitSignB10, AD146&gt;LimitSignB11),X145+1,0))),"")</f>
        <v>0</v>
      </c>
      <c r="Y146" s="14"/>
      <c r="Z146" s="14"/>
      <c r="AA146" s="14"/>
      <c r="AB146" s="14"/>
      <c r="AC146" s="14"/>
      <c r="AD146" s="14"/>
      <c r="AE146" s="14"/>
      <c r="AF146" s="14"/>
      <c r="AG146" s="14"/>
      <c r="AH146" s="14"/>
      <c r="AI146" s="14"/>
      <c r="AJ146" s="14"/>
      <c r="AK146" s="14"/>
      <c r="AL146" s="14"/>
      <c r="AM146" s="14"/>
      <c r="AN146" s="14"/>
      <c r="AO146" s="14"/>
      <c r="AP146" s="14"/>
    </row>
    <row r="147" spans="1:42" s="81" customFormat="1" ht="15" customHeight="1" x14ac:dyDescent="0.15">
      <c r="A147" s="75">
        <v>0</v>
      </c>
      <c r="B147" s="76">
        <f ca="1">IFERROR(MyTime(INDEX(INDIRECT("input!"&amp;$B$112&amp;":"&amp;$B$112),FirstRowInput+Integration*COUNT($B$114:B146)) )* $B$110,"")</f>
        <v>3293.7269759999999</v>
      </c>
      <c r="C147" s="77">
        <f ca="1">IFERROR(AVERAGE(INDEX(INDIRECT("input!" &amp; $C$112 &amp; ":" &amp; $C$112),FirstRowInput+Integration*COUNT($B$114:B146)):INDEX(INDIRECT("input!" &amp; $C$112 &amp; ":" &amp; $C$112),FirstRowInput+Integration*COUNT($B$114:B146)+Integration-1))*$C$110,"")</f>
        <v>18546.426722424058</v>
      </c>
      <c r="D147" s="77">
        <f ca="1">IFERROR(AVERAGE(INDEX(INDIRECT("input!" &amp; $D$112 &amp; ":" &amp; $D$112),FirstRowInput+Integration*COUNT($B$114:B146)):INDEX(INDIRECT("input!" &amp; $D$112 &amp; ":" &amp; $D$112),FirstRowInput+Integration*COUNT($B$114:B146)+Integration-1))*$D$110,"")</f>
        <v>32089.342932153751</v>
      </c>
      <c r="E147" s="77">
        <f ca="1">IFERROR(AVERAGE(INDEX(INDIRECT("input!" &amp; $E$112 &amp; ":" &amp; $E$112),FirstRowInput+Integration*COUNT($B$114:B146)):INDEX(INDIRECT("input!" &amp; $E$112 &amp; ":" &amp; $E$112),FirstRowInput+Integration*COUNT($B$114:B146)+Integration-1))*$E$110,"")</f>
        <v>20104.972935558078</v>
      </c>
      <c r="F147" s="77">
        <f ca="1">IFERROR(AVERAGE(INDEX(INDIRECT("input!" &amp; $F$112 &amp; ":" &amp; $F$112),FirstRowInput+Integration*COUNT($B$114:B146)):INDEX(INDIRECT("input!" &amp; $F$112 &amp; ":" &amp; $F$112),FirstRowInput+Integration*COUNT($B$114:B146)+Integration-1))*$F$110,"")</f>
        <v>9898.6197104477906</v>
      </c>
      <c r="G147" s="77">
        <f ca="1">IFERROR(AVERAGE(INDEX(INDIRECT("input!" &amp; $G$112 &amp; ":" &amp; $G$112),FirstRowInput+Integration*COUNT($B$114:B146)):INDEX(INDIRECT("input!" &amp; $G$112 &amp; ":" &amp; $G$112),FirstRowInput+Integration*COUNT($B$114:B146)+Integration-1))*$G$110,"")</f>
        <v>67747.814691548163</v>
      </c>
      <c r="H147" s="77">
        <f ca="1">IFERROR(AVERAGE(INDEX(INDIRECT("input!" &amp; $H$112 &amp; ":" &amp; $H$112),FirstRowInput+Integration*COUNT($B$114:B146)):INDEX(INDIRECT("input!" &amp; $H$112 &amp; ":" &amp; $H$112),FirstRowInput+Integration*COUNT($B$114:B146)+Integration-1))*$H$110,"")</f>
        <v>18943.935106908302</v>
      </c>
      <c r="I147" s="42">
        <v>35</v>
      </c>
      <c r="J147" s="74">
        <f t="shared" ca="1" si="139"/>
        <v>35</v>
      </c>
      <c r="K147" s="183">
        <f t="shared" ca="1" si="148"/>
        <v>1</v>
      </c>
      <c r="L147" s="183">
        <f t="shared" ca="1" si="149"/>
        <v>18546.426722424058</v>
      </c>
      <c r="M147" s="183">
        <f t="shared" ca="1" si="150"/>
        <v>32089.342932153751</v>
      </c>
      <c r="N147" s="183">
        <f t="shared" ca="1" si="151"/>
        <v>20104.972935558078</v>
      </c>
      <c r="O147" s="183">
        <f t="shared" ca="1" si="143"/>
        <v>20104.972935558078</v>
      </c>
      <c r="P147" s="183">
        <f t="shared" ca="1" si="152"/>
        <v>67747.814691548163</v>
      </c>
      <c r="Q147" s="183">
        <f t="shared" ca="1" si="140"/>
        <v>9898.6197104477906</v>
      </c>
      <c r="R147" s="183">
        <f t="shared" ca="1" si="145"/>
        <v>18943.935106908302</v>
      </c>
      <c r="T147" s="108"/>
      <c r="U147" s="108"/>
      <c r="V147" s="14"/>
      <c r="W147" s="14"/>
      <c r="X147" s="75">
        <f ca="1">IFERROR(IF(AND(MAX($A$114:X146)&gt;X146+1, MAX($A$114:X146)&gt;20),0,IF(AND(AA147="",AD147=""),0,IF(OR(AA147&gt;LimitSignB10, AD147&gt;LimitSignB11),X146+1,0))),"")</f>
        <v>0</v>
      </c>
      <c r="Y147" s="14"/>
      <c r="Z147" s="14"/>
      <c r="AA147" s="14"/>
      <c r="AB147" s="14"/>
      <c r="AC147" s="14"/>
      <c r="AD147" s="14"/>
      <c r="AE147" s="14"/>
      <c r="AF147" s="14"/>
      <c r="AG147" s="14"/>
      <c r="AH147" s="14"/>
      <c r="AI147" s="14"/>
      <c r="AJ147" s="14"/>
      <c r="AK147" s="14"/>
      <c r="AL147" s="14"/>
      <c r="AM147" s="14"/>
      <c r="AN147" s="14"/>
      <c r="AO147" s="14"/>
      <c r="AP147" s="14"/>
    </row>
    <row r="148" spans="1:42" s="81" customFormat="1" ht="15" customHeight="1" x14ac:dyDescent="0.15">
      <c r="A148" s="75">
        <v>0</v>
      </c>
      <c r="B148" s="76">
        <f ca="1">IFERROR(MyTime(INDEX(INDIRECT("input!"&amp;$B$112&amp;":"&amp;$B$112),FirstRowInput+Integration*COUNT($B$114:B147)) )* $B$110,"")</f>
        <v>3293.7953280000002</v>
      </c>
      <c r="C148" s="77">
        <f ca="1">IFERROR(AVERAGE(INDEX(INDIRECT("input!" &amp; $C$112 &amp; ":" &amp; $C$112),FirstRowInput+Integration*COUNT($B$114:B147)):INDEX(INDIRECT("input!" &amp; $C$112 &amp; ":" &amp; $C$112),FirstRowInput+Integration*COUNT($B$114:B147)+Integration-1))*$C$110,"")</f>
        <v>16286.830845088814</v>
      </c>
      <c r="D148" s="77">
        <f ca="1">IFERROR(AVERAGE(INDEX(INDIRECT("input!" &amp; $D$112 &amp; ":" &amp; $D$112),FirstRowInput+Integration*COUNT($B$114:B147)):INDEX(INDIRECT("input!" &amp; $D$112 &amp; ":" &amp; $D$112),FirstRowInput+Integration*COUNT($B$114:B147)+Integration-1))*$D$110,"")</f>
        <v>34132.496607291141</v>
      </c>
      <c r="E148" s="77">
        <f ca="1">IFERROR(AVERAGE(INDEX(INDIRECT("input!" &amp; $E$112 &amp; ":" &amp; $E$112),FirstRowInput+Integration*COUNT($B$114:B147)):INDEX(INDIRECT("input!" &amp; $E$112 &amp; ":" &amp; $E$112),FirstRowInput+Integration*COUNT($B$114:B147)+Integration-1))*$E$110,"")</f>
        <v>18849.81947655612</v>
      </c>
      <c r="F148" s="77">
        <f ca="1">IFERROR(AVERAGE(INDEX(INDIRECT("input!" &amp; $F$112 &amp; ":" &amp; $F$112),FirstRowInput+Integration*COUNT($B$114:B147)):INDEX(INDIRECT("input!" &amp; $F$112 &amp; ":" &amp; $F$112),FirstRowInput+Integration*COUNT($B$114:B147)+Integration-1))*$F$110,"")</f>
        <v>6857.3878506000192</v>
      </c>
      <c r="G148" s="77">
        <f ca="1">IFERROR(AVERAGE(INDEX(INDIRECT("input!" &amp; $G$112 &amp; ":" &amp; $G$112),FirstRowInput+Integration*COUNT($B$114:B147)):INDEX(INDIRECT("input!" &amp; $G$112 &amp; ":" &amp; $G$112),FirstRowInput+Integration*COUNT($B$114:B147)+Integration-1))*$G$110,"")</f>
        <v>64567.036004593203</v>
      </c>
      <c r="H148" s="77">
        <f ca="1">IFERROR(AVERAGE(INDEX(INDIRECT("input!" &amp; $H$112 &amp; ":" &amp; $H$112),FirstRowInput+Integration*COUNT($B$114:B147)):INDEX(INDIRECT("input!" &amp; $H$112 &amp; ":" &amp; $H$112),FirstRowInput+Integration*COUNT($B$114:B147)+Integration-1))*$H$110,"")</f>
        <v>4203.2440293513564</v>
      </c>
      <c r="I148" s="42">
        <v>36</v>
      </c>
      <c r="J148" s="74">
        <f t="shared" ca="1" si="139"/>
        <v>36</v>
      </c>
      <c r="K148" s="183">
        <f t="shared" ca="1" si="148"/>
        <v>1</v>
      </c>
      <c r="L148" s="183">
        <f t="shared" ca="1" si="149"/>
        <v>16286.830845088814</v>
      </c>
      <c r="M148" s="183">
        <f t="shared" ca="1" si="150"/>
        <v>34132.496607291141</v>
      </c>
      <c r="N148" s="183">
        <f t="shared" ca="1" si="151"/>
        <v>18849.81947655612</v>
      </c>
      <c r="O148" s="183">
        <f t="shared" ca="1" si="143"/>
        <v>18849.81947655612</v>
      </c>
      <c r="P148" s="183">
        <f t="shared" ca="1" si="152"/>
        <v>64567.036004593203</v>
      </c>
      <c r="Q148" s="183">
        <f t="shared" ca="1" si="140"/>
        <v>6857.3878506000192</v>
      </c>
      <c r="R148" s="183">
        <f t="shared" ca="1" si="145"/>
        <v>4203.2440293513564</v>
      </c>
      <c r="T148" s="108"/>
      <c r="U148" s="108"/>
      <c r="V148" s="14"/>
      <c r="W148" s="14"/>
      <c r="X148" s="75">
        <f ca="1">IFERROR(IF(AND(MAX($A$114:X147)&gt;X147+1, MAX($A$114:X147)&gt;20),0,IF(AND(AA148="",AD148=""),0,IF(OR(AA148&gt;LimitSignB10, AD148&gt;LimitSignB11),X147+1,0))),"")</f>
        <v>0</v>
      </c>
      <c r="Y148" s="14"/>
      <c r="Z148" s="14"/>
      <c r="AA148" s="14"/>
      <c r="AB148" s="14"/>
      <c r="AC148" s="14"/>
      <c r="AD148" s="14"/>
      <c r="AE148" s="14"/>
      <c r="AF148" s="14"/>
      <c r="AG148" s="14"/>
      <c r="AH148" s="14"/>
      <c r="AI148" s="14"/>
      <c r="AJ148" s="14"/>
      <c r="AK148" s="14"/>
      <c r="AL148" s="14"/>
      <c r="AM148" s="14"/>
      <c r="AN148" s="14"/>
      <c r="AO148" s="14"/>
      <c r="AP148" s="14"/>
    </row>
    <row r="149" spans="1:42" s="81" customFormat="1" ht="15" customHeight="1" x14ac:dyDescent="0.15">
      <c r="A149" s="75">
        <v>0</v>
      </c>
      <c r="B149" s="76">
        <f ca="1">IFERROR(MyTime(INDEX(INDIRECT("input!"&amp;$B$112&amp;":"&amp;$B$112),FirstRowInput+Integration*COUNT($B$114:B148)) )* $B$110,"")</f>
        <v>3293.8634240000001</v>
      </c>
      <c r="C149" s="77">
        <f ca="1">IFERROR(AVERAGE(INDEX(INDIRECT("input!" &amp; $C$112 &amp; ":" &amp; $C$112),FirstRowInput+Integration*COUNT($B$114:B148)):INDEX(INDIRECT("input!" &amp; $C$112 &amp; ":" &amp; $C$112),FirstRowInput+Integration*COUNT($B$114:B148)+Integration-1))*$C$110,"")</f>
        <v>17578.012972016266</v>
      </c>
      <c r="D149" s="77">
        <f ca="1">IFERROR(AVERAGE(INDEX(INDIRECT("input!" &amp; $D$112 &amp; ":" &amp; $D$112),FirstRowInput+Integration*COUNT($B$114:B148)):INDEX(INDIRECT("input!" &amp; $D$112 &amp; ":" &amp; $D$112),FirstRowInput+Integration*COUNT($B$114:B148)+Integration-1))*$D$110,"")</f>
        <v>31675.11419904256</v>
      </c>
      <c r="E149" s="77">
        <f ca="1">IFERROR(AVERAGE(INDEX(INDIRECT("input!" &amp; $E$112 &amp; ":" &amp; $E$112),FirstRowInput+Integration*COUNT($B$114:B148)):INDEX(INDIRECT("input!" &amp; $E$112 &amp; ":" &amp; $E$112),FirstRowInput+Integration*COUNT($B$114:B148)+Integration-1))*$E$110,"")</f>
        <v>19264.693215048592</v>
      </c>
      <c r="F149" s="77">
        <f ca="1">IFERROR(AVERAGE(INDEX(INDIRECT("input!" &amp; $F$112 &amp; ":" &amp; $F$112),FirstRowInput+Integration*COUNT($B$114:B148)):INDEX(INDIRECT("input!" &amp; $F$112 &amp; ":" &amp; $F$112),FirstRowInput+Integration*COUNT($B$114:B148)+Integration-1))*$F$110,"")</f>
        <v>13313.997786345299</v>
      </c>
      <c r="G149" s="77">
        <f ca="1">IFERROR(AVERAGE(INDEX(INDIRECT("input!" &amp; $G$112 &amp; ":" &amp; $G$112),FirstRowInput+Integration*COUNT($B$114:B148)):INDEX(INDIRECT("input!" &amp; $G$112 &amp; ":" &amp; $G$112),FirstRowInput+Integration*COUNT($B$114:B148)+Integration-1))*$G$110,"")</f>
        <v>69690.945506765856</v>
      </c>
      <c r="H149" s="77">
        <f ca="1">IFERROR(AVERAGE(INDEX(INDIRECT("input!" &amp; $H$112 &amp; ":" &amp; $H$112),FirstRowInput+Integration*COUNT($B$114:B148)):INDEX(INDIRECT("input!" &amp; $H$112 &amp; ":" &amp; $H$112),FirstRowInput+Integration*COUNT($B$114:B148)+Integration-1))*$H$110,"")</f>
        <v>8401.1411850649292</v>
      </c>
      <c r="I149" s="42">
        <v>37</v>
      </c>
      <c r="J149" s="74">
        <f t="shared" ca="1" si="139"/>
        <v>37</v>
      </c>
      <c r="K149" s="183">
        <f t="shared" ca="1" si="148"/>
        <v>1</v>
      </c>
      <c r="L149" s="183">
        <f t="shared" ca="1" si="149"/>
        <v>17578.012972016266</v>
      </c>
      <c r="M149" s="183">
        <f t="shared" ca="1" si="150"/>
        <v>31675.11419904256</v>
      </c>
      <c r="N149" s="183">
        <f t="shared" ca="1" si="151"/>
        <v>19264.693215048592</v>
      </c>
      <c r="O149" s="183">
        <f t="shared" ca="1" si="143"/>
        <v>19264.693215048592</v>
      </c>
      <c r="P149" s="183">
        <f t="shared" ca="1" si="152"/>
        <v>69690.945506765856</v>
      </c>
      <c r="Q149" s="183">
        <f t="shared" ca="1" si="140"/>
        <v>13313.997786345299</v>
      </c>
      <c r="R149" s="183">
        <f t="shared" ca="1" si="145"/>
        <v>8401.1411850649292</v>
      </c>
      <c r="T149" s="108"/>
      <c r="U149" s="108"/>
      <c r="V149" s="14"/>
      <c r="W149" s="14"/>
      <c r="X149" s="75">
        <f ca="1">IFERROR(IF(AND(MAX($A$114:X148)&gt;X148+1, MAX($A$114:X148)&gt;20),0,IF(AND(AA149="",AD149=""),0,IF(OR(AA149&gt;LimitSignB10, AD149&gt;LimitSignB11),X148+1,0))),"")</f>
        <v>0</v>
      </c>
      <c r="Y149" s="14"/>
      <c r="Z149" s="14"/>
      <c r="AA149" s="14"/>
      <c r="AB149" s="14"/>
      <c r="AC149" s="14"/>
      <c r="AD149" s="14"/>
      <c r="AE149" s="14"/>
      <c r="AF149" s="14"/>
      <c r="AG149" s="14"/>
      <c r="AH149" s="14"/>
      <c r="AI149" s="14"/>
      <c r="AJ149" s="14"/>
      <c r="AK149" s="14"/>
      <c r="AL149" s="14"/>
      <c r="AM149" s="14"/>
      <c r="AN149" s="14"/>
      <c r="AO149" s="14"/>
      <c r="AP149" s="14"/>
    </row>
    <row r="150" spans="1:42" s="81" customFormat="1" ht="15" customHeight="1" x14ac:dyDescent="0.15">
      <c r="A150" s="75">
        <v>0</v>
      </c>
      <c r="B150" s="76">
        <f ca="1">IFERROR(MyTime(INDEX(INDIRECT("input!"&amp;$B$112&amp;":"&amp;$B$112),FirstRowInput+Integration*COUNT($B$114:B149)) )* $B$110,"")</f>
        <v>3293.9315200000001</v>
      </c>
      <c r="C150" s="77">
        <f ca="1">IFERROR(AVERAGE(INDEX(INDIRECT("input!" &amp; $C$112 &amp; ":" &amp; $C$112),FirstRowInput+Integration*COUNT($B$114:B149)):INDEX(INDIRECT("input!" &amp; $C$112 &amp; ":" &amp; $C$112),FirstRowInput+Integration*COUNT($B$114:B149)+Integration-1))*$C$110,"")</f>
        <v>20973.279422788619</v>
      </c>
      <c r="D150" s="77">
        <f ca="1">IFERROR(AVERAGE(INDEX(INDIRECT("input!" &amp; $D$112 &amp; ":" &amp; $D$112),FirstRowInput+Integration*COUNT($B$114:B149)):INDEX(INDIRECT("input!" &amp; $D$112 &amp; ":" &amp; $D$112),FirstRowInput+Integration*COUNT($B$114:B149)+Integration-1))*$D$110,"")</f>
        <v>32223.549885640459</v>
      </c>
      <c r="E150" s="77">
        <f ca="1">IFERROR(AVERAGE(INDEX(INDIRECT("input!" &amp; $E$112 &amp; ":" &amp; $E$112),FirstRowInput+Integration*COUNT($B$114:B149)):INDEX(INDIRECT("input!" &amp; $E$112 &amp; ":" &amp; $E$112),FirstRowInput+Integration*COUNT($B$114:B149)+Integration-1))*$E$110,"")</f>
        <v>14960.201465867238</v>
      </c>
      <c r="F150" s="77">
        <f ca="1">IFERROR(AVERAGE(INDEX(INDIRECT("input!" &amp; $F$112 &amp; ":" &amp; $F$112),FirstRowInput+Integration*COUNT($B$114:B149)):INDEX(INDIRECT("input!" &amp; $F$112 &amp; ":" &amp; $F$112),FirstRowInput+Integration*COUNT($B$114:B149)+Integration-1))*$F$110,"")</f>
        <v>16330.842035015914</v>
      </c>
      <c r="G150" s="77">
        <f ca="1">IFERROR(AVERAGE(INDEX(INDIRECT("input!" &amp; $G$112 &amp; ":" &amp; $G$112),FirstRowInput+Integration*COUNT($B$114:B149)):INDEX(INDIRECT("input!" &amp; $G$112 &amp; ":" &amp; $G$112),FirstRowInput+Integration*COUNT($B$114:B149)+Integration-1))*$G$110,"")</f>
        <v>71406.675862802585</v>
      </c>
      <c r="H150" s="77">
        <f ca="1">IFERROR(AVERAGE(INDEX(INDIRECT("input!" &amp; $H$112 &amp; ":" &amp; $H$112),FirstRowInput+Integration*COUNT($B$114:B149)):INDEX(INDIRECT("input!" &amp; $H$112 &amp; ":" &amp; $H$112),FirstRowInput+Integration*COUNT($B$114:B149)+Integration-1))*$H$110,"")</f>
        <v>5716.3274301373031</v>
      </c>
      <c r="I150" s="42">
        <v>38</v>
      </c>
      <c r="J150" s="74">
        <f t="shared" ca="1" si="139"/>
        <v>38</v>
      </c>
      <c r="K150" s="183">
        <f t="shared" ca="1" si="148"/>
        <v>1</v>
      </c>
      <c r="L150" s="183">
        <f t="shared" ca="1" si="149"/>
        <v>20973.279422788619</v>
      </c>
      <c r="M150" s="183">
        <f t="shared" ca="1" si="150"/>
        <v>32223.549885640459</v>
      </c>
      <c r="N150" s="183">
        <f t="shared" ca="1" si="151"/>
        <v>14960.201465867238</v>
      </c>
      <c r="O150" s="183">
        <f t="shared" ca="1" si="143"/>
        <v>14960.201465867238</v>
      </c>
      <c r="P150" s="183">
        <f t="shared" ca="1" si="152"/>
        <v>71406.675862802585</v>
      </c>
      <c r="Q150" s="183">
        <f t="shared" ca="1" si="140"/>
        <v>16330.842035015914</v>
      </c>
      <c r="R150" s="183">
        <f t="shared" ca="1" si="145"/>
        <v>5716.3274301373031</v>
      </c>
      <c r="T150" s="108"/>
      <c r="U150" s="108"/>
      <c r="V150" s="14"/>
      <c r="W150" s="14"/>
      <c r="X150" s="75">
        <f ca="1">IFERROR(IF(AND(MAX($A$114:X149)&gt;X149+1, MAX($A$114:X149)&gt;20),0,IF(AND(AA150="",AD150=""),0,IF(OR(AA150&gt;LimitSignB10, AD150&gt;LimitSignB11),X149+1,0))),"")</f>
        <v>0</v>
      </c>
      <c r="Y150" s="14"/>
      <c r="Z150" s="14"/>
      <c r="AA150" s="14"/>
      <c r="AB150" s="14"/>
      <c r="AC150" s="14"/>
      <c r="AD150" s="14"/>
      <c r="AE150" s="14"/>
      <c r="AF150" s="14"/>
      <c r="AG150" s="14"/>
      <c r="AH150" s="14"/>
      <c r="AI150" s="14"/>
      <c r="AJ150" s="14"/>
      <c r="AK150" s="14"/>
      <c r="AL150" s="14"/>
      <c r="AM150" s="14"/>
      <c r="AN150" s="14"/>
      <c r="AO150" s="14"/>
      <c r="AP150" s="14"/>
    </row>
    <row r="151" spans="1:42" s="14" customFormat="1" ht="15" customHeight="1" x14ac:dyDescent="0.15">
      <c r="A151" s="75">
        <v>0</v>
      </c>
      <c r="B151" s="76">
        <f ca="1">IFERROR(MyTime(INDEX(INDIRECT("input!"&amp;$B$112&amp;":"&amp;$B$112),FirstRowInput+Integration*COUNT($B$114:B150)) )* $B$110,"")</f>
        <v>3293.9996160000001</v>
      </c>
      <c r="C151" s="77">
        <f ca="1">IFERROR(AVERAGE(INDEX(INDIRECT("input!" &amp; $C$112 &amp; ":" &amp; $C$112),FirstRowInput+Integration*COUNT($B$114:B150)):INDEX(INDIRECT("input!" &amp; $C$112 &amp; ":" &amp; $C$112),FirstRowInput+Integration*COUNT($B$114:B150)+Integration-1))*$C$110,"")</f>
        <v>21085.245170205155</v>
      </c>
      <c r="D151" s="77">
        <f ca="1">IFERROR(AVERAGE(INDEX(INDIRECT("input!" &amp; $D$112 &amp; ":" &amp; $D$112),FirstRowInput+Integration*COUNT($B$114:B150)):INDEX(INDIRECT("input!" &amp; $D$112 &amp; ":" &amp; $D$112),FirstRowInput+Integration*COUNT($B$114:B150)+Integration-1))*$D$110,"")</f>
        <v>32635.438155072919</v>
      </c>
      <c r="E151" s="77">
        <f ca="1">IFERROR(AVERAGE(INDEX(INDIRECT("input!" &amp; $E$112 &amp; ":" &amp; $E$112),FirstRowInput+Integration*COUNT($B$114:B150)):INDEX(INDIRECT("input!" &amp; $E$112 &amp; ":" &amp; $E$112),FirstRowInput+Integration*COUNT($B$114:B150)+Integration-1))*$E$110,"")</f>
        <v>17701.18305864474</v>
      </c>
      <c r="F151" s="77">
        <f ca="1">IFERROR(AVERAGE(INDEX(INDIRECT("input!" &amp; $F$112 &amp; ":" &amp; $F$112),FirstRowInput+Integration*COUNT($B$114:B150)):INDEX(INDIRECT("input!" &amp; $F$112 &amp; ":" &amp; $F$112),FirstRowInput+Integration*COUNT($B$114:B150)+Integration-1))*$F$110,"")</f>
        <v>4609.4438749491101</v>
      </c>
      <c r="G151" s="77">
        <f ca="1">IFERROR(AVERAGE(INDEX(INDIRECT("input!" &amp; $G$112 &amp; ":" &amp; $G$112),FirstRowInput+Integration*COUNT($B$114:B150)):INDEX(INDIRECT("input!" &amp; $G$112 &amp; ":" &amp; $G$112),FirstRowInput+Integration*COUNT($B$114:B150)+Integration-1))*$G$110,"")</f>
        <v>72326.013736375768</v>
      </c>
      <c r="H151" s="77">
        <f ca="1">IFERROR(AVERAGE(INDEX(INDIRECT("input!" &amp; $H$112 &amp; ":" &amp; $H$112),FirstRowInput+Integration*COUNT($B$114:B150)):INDEX(INDIRECT("input!" &amp; $H$112 &amp; ":" &amp; $H$112),FirstRowInput+Integration*COUNT($B$114:B150)+Integration-1))*$H$110,"")</f>
        <v>12915.381932284166</v>
      </c>
      <c r="I151" s="42">
        <v>39</v>
      </c>
      <c r="J151" s="74">
        <f t="shared" ca="1" si="139"/>
        <v>39</v>
      </c>
      <c r="K151" s="183">
        <f t="shared" ca="1" si="148"/>
        <v>1</v>
      </c>
      <c r="L151" s="183">
        <f t="shared" ca="1" si="149"/>
        <v>21085.245170205155</v>
      </c>
      <c r="M151" s="183">
        <f t="shared" ca="1" si="150"/>
        <v>32635.438155072919</v>
      </c>
      <c r="N151" s="183">
        <f t="shared" ca="1" si="151"/>
        <v>17701.18305864474</v>
      </c>
      <c r="O151" s="183">
        <f t="shared" ca="1" si="143"/>
        <v>17701.18305864474</v>
      </c>
      <c r="P151" s="183">
        <f t="shared" ca="1" si="152"/>
        <v>72326.013736375768</v>
      </c>
      <c r="Q151" s="183">
        <f t="shared" ca="1" si="140"/>
        <v>4609.4438749491101</v>
      </c>
      <c r="R151" s="183">
        <f t="shared" ca="1" si="145"/>
        <v>12915.381932284166</v>
      </c>
      <c r="S151" s="81"/>
      <c r="T151" s="108"/>
      <c r="U151" s="108"/>
      <c r="X151" s="75">
        <f ca="1">IFERROR(IF(AND(MAX($A$114:X150)&gt;X150+1, MAX($A$114:X150)&gt;20),0,IF(AND(AA151="",AD151=""),0,IF(OR(AA151&gt;LimitSignB10, AD151&gt;LimitSignB11),X150+1,0))),"")</f>
        <v>0</v>
      </c>
    </row>
    <row r="152" spans="1:42" s="14" customFormat="1" ht="15" customHeight="1" x14ac:dyDescent="0.15">
      <c r="A152" s="75">
        <v>0</v>
      </c>
      <c r="B152" s="76">
        <f ca="1">IFERROR(MyTime(INDEX(INDIRECT("input!"&amp;$B$112&amp;":"&amp;$B$112),FirstRowInput+Integration*COUNT($B$114:B151)) )* $B$110,"")</f>
        <v>3294.067712</v>
      </c>
      <c r="C152" s="77">
        <f ca="1">IFERROR(AVERAGE(INDEX(INDIRECT("input!" &amp; $C$112 &amp; ":" &amp; $C$112),FirstRowInput+Integration*COUNT($B$114:B151)):INDEX(INDIRECT("input!" &amp; $C$112 &amp; ":" &amp; $C$112),FirstRowInput+Integration*COUNT($B$114:B151)+Integration-1))*$C$110,"")</f>
        <v>19764.081673364872</v>
      </c>
      <c r="D152" s="77">
        <f ca="1">IFERROR(AVERAGE(INDEX(INDIRECT("input!" &amp; $D$112 &amp; ":" &amp; $D$112),FirstRowInput+Integration*COUNT($B$114:B151)):INDEX(INDIRECT("input!" &amp; $D$112 &amp; ":" &amp; $D$112),FirstRowInput+Integration*COUNT($B$114:B151)+Integration-1))*$D$110,"")</f>
        <v>33308.537020163189</v>
      </c>
      <c r="E152" s="77">
        <f ca="1">IFERROR(AVERAGE(INDEX(INDIRECT("input!" &amp; $E$112 &amp; ":" &amp; $E$112),FirstRowInput+Integration*COUNT($B$114:B151)):INDEX(INDIRECT("input!" &amp; $E$112 &amp; ":" &amp; $E$112),FirstRowInput+Integration*COUNT($B$114:B151)+Integration-1))*$E$110,"")</f>
        <v>20612.894548462133</v>
      </c>
      <c r="F152" s="77">
        <f ca="1">IFERROR(AVERAGE(INDEX(INDIRECT("input!" &amp; $F$112 &amp; ":" &amp; $F$112),FirstRowInput+Integration*COUNT($B$114:B151)):INDEX(INDIRECT("input!" &amp; $F$112 &amp; ":" &amp; $F$112),FirstRowInput+Integration*COUNT($B$114:B151)+Integration-1))*$F$110,"")</f>
        <v>3369.2188930629468</v>
      </c>
      <c r="G152" s="77">
        <f ca="1">IFERROR(AVERAGE(INDEX(INDIRECT("input!" &amp; $G$112 &amp; ":" &amp; $G$112),FirstRowInput+Integration*COUNT($B$114:B151)):INDEX(INDIRECT("input!" &amp; $G$112 &amp; ":" &amp; $G$112),FirstRowInput+Integration*COUNT($B$114:B151)+Integration-1))*$G$110,"")</f>
        <v>70284.377281940018</v>
      </c>
      <c r="H152" s="77">
        <f ca="1">IFERROR(AVERAGE(INDEX(INDIRECT("input!" &amp; $H$112 &amp; ":" &amp; $H$112),FirstRowInput+Integration*COUNT($B$114:B151)):INDEX(INDIRECT("input!" &amp; $H$112 &amp; ":" &amp; $H$112),FirstRowInput+Integration*COUNT($B$114:B151)+Integration-1))*$H$110,"")</f>
        <v>22759.125977359326</v>
      </c>
      <c r="I152" s="42">
        <v>40</v>
      </c>
      <c r="J152" s="74">
        <f t="shared" ca="1" si="139"/>
        <v>40</v>
      </c>
      <c r="K152" s="183">
        <f t="shared" ca="1" si="148"/>
        <v>1</v>
      </c>
      <c r="L152" s="183">
        <f t="shared" ca="1" si="149"/>
        <v>19764.081673364872</v>
      </c>
      <c r="M152" s="183">
        <f t="shared" ca="1" si="150"/>
        <v>33308.537020163189</v>
      </c>
      <c r="N152" s="183">
        <f t="shared" ca="1" si="151"/>
        <v>20612.894548462133</v>
      </c>
      <c r="O152" s="183">
        <f t="shared" ca="1" si="143"/>
        <v>20612.894548462133</v>
      </c>
      <c r="P152" s="183">
        <f t="shared" ca="1" si="152"/>
        <v>70284.377281940018</v>
      </c>
      <c r="Q152" s="183">
        <f t="shared" ca="1" si="140"/>
        <v>3369.2188930629468</v>
      </c>
      <c r="R152" s="183">
        <f t="shared" ca="1" si="145"/>
        <v>22759.125977359326</v>
      </c>
      <c r="S152" s="81"/>
      <c r="T152" s="108"/>
      <c r="U152" s="108"/>
      <c r="X152" s="75">
        <f ca="1">IFERROR(IF(AND(MAX($A$114:X151)&gt;X151+1, MAX($A$114:X151)&gt;20),0,IF(AND(AA152="",AD152=""),0,IF(OR(AA152&gt;LimitSignB10, AD152&gt;LimitSignB11),X151+1,0))),"")</f>
        <v>0</v>
      </c>
    </row>
    <row r="153" spans="1:42" s="14" customFormat="1" ht="15" customHeight="1" x14ac:dyDescent="0.15">
      <c r="A153" s="75">
        <v>0</v>
      </c>
      <c r="B153" s="76">
        <f ca="1">IFERROR(MyTime(INDEX(INDIRECT("input!"&amp;$B$112&amp;":"&amp;$B$112),FirstRowInput+Integration*COUNT($B$114:B152)) )* $B$110,"")</f>
        <v>3294.1355520000002</v>
      </c>
      <c r="C153" s="77">
        <f ca="1">IFERROR(AVERAGE(INDEX(INDIRECT("input!" &amp; $C$112 &amp; ":" &amp; $C$112),FirstRowInput+Integration*COUNT($B$114:B152)):INDEX(INDIRECT("input!" &amp; $C$112 &amp; ":" &amp; $C$112),FirstRowInput+Integration*COUNT($B$114:B152)+Integration-1))*$C$110,"")</f>
        <v>17258.866929457421</v>
      </c>
      <c r="D153" s="77">
        <f ca="1">IFERROR(AVERAGE(INDEX(INDIRECT("input!" &amp; $D$112 &amp; ":" &amp; $D$112),FirstRowInput+Integration*COUNT($B$114:B152)):INDEX(INDIRECT("input!" &amp; $D$112 &amp; ":" &amp; $D$112),FirstRowInput+Integration*COUNT($B$114:B152)+Integration-1))*$D$110,"")</f>
        <v>34089.933766818132</v>
      </c>
      <c r="E153" s="77">
        <f ca="1">IFERROR(AVERAGE(INDEX(INDIRECT("input!" &amp; $E$112 &amp; ":" &amp; $E$112),FirstRowInput+Integration*COUNT($B$114:B152)):INDEX(INDIRECT("input!" &amp; $E$112 &amp; ":" &amp; $E$112),FirstRowInput+Integration*COUNT($B$114:B152)+Integration-1))*$E$110,"")</f>
        <v>17005.53837448802</v>
      </c>
      <c r="F153" s="77">
        <f ca="1">IFERROR(AVERAGE(INDEX(INDIRECT("input!" &amp; $F$112 &amp; ":" &amp; $F$112),FirstRowInput+Integration*COUNT($B$114:B152)):INDEX(INDIRECT("input!" &amp; $F$112 &amp; ":" &amp; $F$112),FirstRowInput+Integration*COUNT($B$114:B152)+Integration-1))*$F$110,"")</f>
        <v>7113.9223661606256</v>
      </c>
      <c r="G153" s="77">
        <f ca="1">IFERROR(AVERAGE(INDEX(INDIRECT("input!" &amp; $G$112 &amp; ":" &amp; $G$112),FirstRowInput+Integration*COUNT($B$114:B152)):INDEX(INDIRECT("input!" &amp; $G$112 &amp; ":" &amp; $G$112),FirstRowInput+Integration*COUNT($B$114:B152)+Integration-1))*$G$110,"")</f>
        <v>68599.600101171993</v>
      </c>
      <c r="H153" s="77">
        <f ca="1">IFERROR(AVERAGE(INDEX(INDIRECT("input!" &amp; $H$112 &amp; ":" &amp; $H$112),FirstRowInput+Integration*COUNT($B$114:B152)):INDEX(INDIRECT("input!" &amp; $H$112 &amp; ":" &amp; $H$112),FirstRowInput+Integration*COUNT($B$114:B152)+Integration-1))*$H$110,"")</f>
        <v>15468.319939921304</v>
      </c>
      <c r="I153" s="42">
        <v>41</v>
      </c>
      <c r="J153" s="74">
        <f t="shared" ca="1" si="139"/>
        <v>41</v>
      </c>
      <c r="K153" s="183">
        <f t="shared" ca="1" si="148"/>
        <v>1</v>
      </c>
      <c r="L153" s="183">
        <f t="shared" ca="1" si="149"/>
        <v>17258.866929457421</v>
      </c>
      <c r="M153" s="183">
        <f t="shared" ca="1" si="150"/>
        <v>34089.933766818132</v>
      </c>
      <c r="N153" s="183">
        <f t="shared" ca="1" si="151"/>
        <v>17005.53837448802</v>
      </c>
      <c r="O153" s="183">
        <f t="shared" ca="1" si="143"/>
        <v>17005.53837448802</v>
      </c>
      <c r="P153" s="183">
        <f t="shared" ca="1" si="152"/>
        <v>68599.600101171993</v>
      </c>
      <c r="Q153" s="183">
        <f t="shared" ca="1" si="140"/>
        <v>7113.9223661606256</v>
      </c>
      <c r="R153" s="183">
        <f t="shared" ca="1" si="145"/>
        <v>15468.319939921304</v>
      </c>
      <c r="S153" s="81"/>
      <c r="T153" s="108"/>
      <c r="U153" s="108"/>
      <c r="X153" s="75">
        <f ca="1">IFERROR(IF(AND(MAX($A$114:X152)&gt;X152+1, MAX($A$114:X152)&gt;20),0,IF(AND(AA153="",AD153=""),0,IF(OR(AA153&gt;LimitSignB10, AD153&gt;LimitSignB11),X152+1,0))),"")</f>
        <v>0</v>
      </c>
    </row>
    <row r="154" spans="1:42" s="14" customFormat="1" ht="15" customHeight="1" x14ac:dyDescent="0.15">
      <c r="A154" s="75">
        <v>0</v>
      </c>
      <c r="B154" s="76">
        <f ca="1">IFERROR(MyTime(INDEX(INDIRECT("input!"&amp;$B$112&amp;":"&amp;$B$112),FirstRowInput+Integration*COUNT($B$114:B153)) )* $B$110,"")</f>
        <v>3294.2036480000002</v>
      </c>
      <c r="C154" s="77">
        <f ca="1">IFERROR(AVERAGE(INDEX(INDIRECT("input!" &amp; $C$112 &amp; ":" &amp; $C$112),FirstRowInput+Integration*COUNT($B$114:B153)):INDEX(INDIRECT("input!" &amp; $C$112 &amp; ":" &amp; $C$112),FirstRowInput+Integration*COUNT($B$114:B153)+Integration-1))*$C$110,"")</f>
        <v>17382.403378880965</v>
      </c>
      <c r="D154" s="77">
        <f ca="1">IFERROR(AVERAGE(INDEX(INDIRECT("input!" &amp; $D$112 &amp; ":" &amp; $D$112),FirstRowInput+Integration*COUNT($B$114:B153)):INDEX(INDIRECT("input!" &amp; $D$112 &amp; ":" &amp; $D$112),FirstRowInput+Integration*COUNT($B$114:B153)+Integration-1))*$D$110,"")</f>
        <v>32851.68224897395</v>
      </c>
      <c r="E154" s="77">
        <f ca="1">IFERROR(AVERAGE(INDEX(INDIRECT("input!" &amp; $E$112 &amp; ":" &amp; $E$112),FirstRowInput+Integration*COUNT($B$114:B153)):INDEX(INDIRECT("input!" &amp; $E$112 &amp; ":" &amp; $E$112),FirstRowInput+Integration*COUNT($B$114:B153)+Integration-1))*$E$110,"")</f>
        <v>17939.732052134008</v>
      </c>
      <c r="F154" s="77">
        <f ca="1">IFERROR(AVERAGE(INDEX(INDIRECT("input!" &amp; $F$112 &amp; ":" &amp; $F$112),FirstRowInput+Integration*COUNT($B$114:B153)):INDEX(INDIRECT("input!" &amp; $F$112 &amp; ":" &amp; $F$112),FirstRowInput+Integration*COUNT($B$114:B153)+Integration-1))*$F$110,"")</f>
        <v>6699.2364740438588</v>
      </c>
      <c r="G154" s="77">
        <f ca="1">IFERROR(AVERAGE(INDEX(INDIRECT("input!" &amp; $G$112 &amp; ":" &amp; $G$112),FirstRowInput+Integration*COUNT($B$114:B153)):INDEX(INDIRECT("input!" &amp; $G$112 &amp; ":" &amp; $G$112),FirstRowInput+Integration*COUNT($B$114:B153)+Integration-1))*$G$110,"")</f>
        <v>72459.295401328374</v>
      </c>
      <c r="H154" s="77">
        <f ca="1">IFERROR(AVERAGE(INDEX(INDIRECT("input!" &amp; $H$112 &amp; ":" &amp; $H$112),FirstRowInput+Integration*COUNT($B$114:B153)):INDEX(INDIRECT("input!" &amp; $H$112 &amp; ":" &amp; $H$112),FirstRowInput+Integration*COUNT($B$114:B153)+Integration-1))*$H$110,"")</f>
        <v>4038.429546800719</v>
      </c>
      <c r="I154" s="42">
        <v>42</v>
      </c>
      <c r="J154" s="74">
        <f t="shared" ca="1" si="139"/>
        <v>42</v>
      </c>
      <c r="K154" s="183">
        <f t="shared" ca="1" si="148"/>
        <v>1</v>
      </c>
      <c r="L154" s="183">
        <f t="shared" ca="1" si="149"/>
        <v>17382.403378880965</v>
      </c>
      <c r="M154" s="183">
        <f t="shared" ca="1" si="150"/>
        <v>32851.68224897395</v>
      </c>
      <c r="N154" s="183">
        <f t="shared" ca="1" si="151"/>
        <v>17939.732052134008</v>
      </c>
      <c r="O154" s="183">
        <f t="shared" ca="1" si="143"/>
        <v>17939.732052134008</v>
      </c>
      <c r="P154" s="183">
        <f t="shared" ca="1" si="152"/>
        <v>72459.295401328374</v>
      </c>
      <c r="Q154" s="183">
        <f t="shared" ca="1" si="140"/>
        <v>6699.2364740438588</v>
      </c>
      <c r="R154" s="183">
        <f t="shared" ca="1" si="145"/>
        <v>4038.429546800719</v>
      </c>
      <c r="S154" s="81"/>
      <c r="T154" s="108"/>
      <c r="U154" s="108"/>
      <c r="X154" s="75">
        <f ca="1">IFERROR(IF(AND(MAX($A$114:X153)&gt;X153+1, MAX($A$114:X153)&gt;20),0,IF(AND(AA154="",AD154=""),0,IF(OR(AA154&gt;LimitSignB10, AD154&gt;LimitSignB11),X153+1,0))),"")</f>
        <v>0</v>
      </c>
    </row>
    <row r="155" spans="1:42" s="14" customFormat="1" ht="15" customHeight="1" x14ac:dyDescent="0.15">
      <c r="A155" s="75">
        <v>0</v>
      </c>
      <c r="B155" s="76">
        <f ca="1">IFERROR(MyTime(INDEX(INDIRECT("input!"&amp;$B$112&amp;":"&amp;$B$112),FirstRowInput+Integration*COUNT($B$114:B154)) )* $B$110,"")</f>
        <v>3294.2719999999999</v>
      </c>
      <c r="C155" s="77">
        <f ca="1">IFERROR(AVERAGE(INDEX(INDIRECT("input!" &amp; $C$112 &amp; ":" &amp; $C$112),FirstRowInput+Integration*COUNT($B$114:B154)):INDEX(INDIRECT("input!" &amp; $C$112 &amp; ":" &amp; $C$112),FirstRowInput+Integration*COUNT($B$114:B154)+Integration-1))*$C$110,"")</f>
        <v>20820.209880197144</v>
      </c>
      <c r="D155" s="77">
        <f ca="1">IFERROR(AVERAGE(INDEX(INDIRECT("input!" &amp; $D$112 &amp; ":" &amp; $D$112),FirstRowInput+Integration*COUNT($B$114:B154)):INDEX(INDIRECT("input!" &amp; $D$112 &amp; ":" &amp; $D$112),FirstRowInput+Integration*COUNT($B$114:B154)+Integration-1))*$D$110,"")</f>
        <v>32977.75766170142</v>
      </c>
      <c r="E155" s="77">
        <f ca="1">IFERROR(AVERAGE(INDEX(INDIRECT("input!" &amp; $E$112 &amp; ":" &amp; $E$112),FirstRowInput+Integration*COUNT($B$114:B154)):INDEX(INDIRECT("input!" &amp; $E$112 &amp; ":" &amp; $E$112),FirstRowInput+Integration*COUNT($B$114:B154)+Integration-1))*$E$110,"")</f>
        <v>17847.796158597597</v>
      </c>
      <c r="F155" s="77">
        <f ca="1">IFERROR(AVERAGE(INDEX(INDIRECT("input!" &amp; $F$112 &amp; ":" &amp; $F$112),FirstRowInput+Integration*COUNT($B$114:B154)):INDEX(INDIRECT("input!" &amp; $F$112 &amp; ":" &amp; $F$112),FirstRowInput+Integration*COUNT($B$114:B154)+Integration-1))*$F$110,"")</f>
        <v>9784.1496459289447</v>
      </c>
      <c r="G155" s="77">
        <f ca="1">IFERROR(AVERAGE(INDEX(INDIRECT("input!" &amp; $G$112 &amp; ":" &amp; $G$112),FirstRowInput+Integration*COUNT($B$114:B154)):INDEX(INDIRECT("input!" &amp; $G$112 &amp; ":" &amp; $G$112),FirstRowInput+Integration*COUNT($B$114:B154)+Integration-1))*$G$110,"")</f>
        <v>70705.027925879564</v>
      </c>
      <c r="H155" s="77">
        <f ca="1">IFERROR(AVERAGE(INDEX(INDIRECT("input!" &amp; $H$112 &amp; ":" &amp; $H$112),FirstRowInput+Integration*COUNT($B$114:B154)):INDEX(INDIRECT("input!" &amp; $H$112 &amp; ":" &amp; $H$112),FirstRowInput+Integration*COUNT($B$114:B154)+Integration-1))*$H$110,"")</f>
        <v>14265.047023735748</v>
      </c>
      <c r="I155" s="42">
        <v>43</v>
      </c>
      <c r="J155" s="74">
        <f t="shared" ca="1" si="139"/>
        <v>43</v>
      </c>
      <c r="K155" s="183">
        <f t="shared" ca="1" si="148"/>
        <v>1</v>
      </c>
      <c r="L155" s="183">
        <f t="shared" ca="1" si="149"/>
        <v>20820.209880197144</v>
      </c>
      <c r="M155" s="183">
        <f t="shared" ca="1" si="150"/>
        <v>32977.75766170142</v>
      </c>
      <c r="N155" s="183">
        <f t="shared" ca="1" si="151"/>
        <v>17847.796158597597</v>
      </c>
      <c r="O155" s="183">
        <f t="shared" ca="1" si="143"/>
        <v>17847.796158597597</v>
      </c>
      <c r="P155" s="183">
        <f t="shared" ca="1" si="152"/>
        <v>70705.027925879564</v>
      </c>
      <c r="Q155" s="183">
        <f t="shared" ca="1" si="140"/>
        <v>9784.1496459289447</v>
      </c>
      <c r="R155" s="183">
        <f t="shared" ca="1" si="145"/>
        <v>14265.047023735748</v>
      </c>
      <c r="S155" s="81"/>
      <c r="T155" s="108"/>
      <c r="U155" s="108"/>
      <c r="X155" s="75">
        <f ca="1">IFERROR(IF(AND(MAX($A$114:X154)&gt;X154+1, MAX($A$114:X154)&gt;20),0,IF(AND(AA155="",AD155=""),0,IF(OR(AA155&gt;LimitSignB10, AD155&gt;LimitSignB11),X154+1,0))),"")</f>
        <v>0</v>
      </c>
    </row>
    <row r="156" spans="1:42" s="14" customFormat="1" ht="15" customHeight="1" x14ac:dyDescent="0.15">
      <c r="A156" s="75">
        <v>0</v>
      </c>
      <c r="B156" s="76">
        <f ca="1">IFERROR(MyTime(INDEX(INDIRECT("input!"&amp;$B$112&amp;":"&amp;$B$112),FirstRowInput+Integration*COUNT($B$114:B155)) )* $B$110,"")</f>
        <v>3294.3400959999999</v>
      </c>
      <c r="C156" s="77">
        <f ca="1">IFERROR(AVERAGE(INDEX(INDIRECT("input!" &amp; $C$112 &amp; ":" &amp; $C$112),FirstRowInput+Integration*COUNT($B$114:B155)):INDEX(INDIRECT("input!" &amp; $C$112 &amp; ":" &amp; $C$112),FirstRowInput+Integration*COUNT($B$114:B155)+Integration-1))*$C$110,"")</f>
        <v>19336.453518410559</v>
      </c>
      <c r="D156" s="77">
        <f ca="1">IFERROR(AVERAGE(INDEX(INDIRECT("input!" &amp; $D$112 &amp; ":" &amp; $D$112),FirstRowInput+Integration*COUNT($B$114:B155)):INDEX(INDIRECT("input!" &amp; $D$112 &amp; ":" &amp; $D$112),FirstRowInput+Integration*COUNT($B$114:B155)+Integration-1))*$D$110,"")</f>
        <v>34012.954027844433</v>
      </c>
      <c r="E156" s="77">
        <f ca="1">IFERROR(AVERAGE(INDEX(INDIRECT("input!" &amp; $E$112 &amp; ":" &amp; $E$112),FirstRowInput+Integration*COUNT($B$114:B155)):INDEX(INDIRECT("input!" &amp; $E$112 &amp; ":" &amp; $E$112),FirstRowInput+Integration*COUNT($B$114:B155)+Integration-1))*$E$110,"")</f>
        <v>18039.459093246554</v>
      </c>
      <c r="F156" s="77">
        <f ca="1">IFERROR(AVERAGE(INDEX(INDIRECT("input!" &amp; $F$112 &amp; ":" &amp; $F$112),FirstRowInput+Integration*COUNT($B$114:B155)):INDEX(INDIRECT("input!" &amp; $F$112 &amp; ":" &amp; $F$112),FirstRowInput+Integration*COUNT($B$114:B155)+Integration-1))*$F$110,"")</f>
        <v>23013.73242756613</v>
      </c>
      <c r="G156" s="77">
        <f ca="1">IFERROR(AVERAGE(INDEX(INDIRECT("input!" &amp; $G$112 &amp; ":" &amp; $G$112),FirstRowInput+Integration*COUNT($B$114:B155)):INDEX(INDIRECT("input!" &amp; $G$112 &amp; ":" &amp; $G$112),FirstRowInput+Integration*COUNT($B$114:B155)+Integration-1))*$G$110,"")</f>
        <v>67753.697199847782</v>
      </c>
      <c r="H156" s="77">
        <f ca="1">IFERROR(AVERAGE(INDEX(INDIRECT("input!" &amp; $H$112 &amp; ":" &amp; $H$112),FirstRowInput+Integration*COUNT($B$114:B155)):INDEX(INDIRECT("input!" &amp; $H$112 &amp; ":" &amp; $H$112),FirstRowInput+Integration*COUNT($B$114:B155)+Integration-1))*$H$110,"")</f>
        <v>5918.5124171730522</v>
      </c>
      <c r="I156" s="42">
        <v>44</v>
      </c>
      <c r="J156" s="74">
        <f t="shared" ca="1" si="139"/>
        <v>44</v>
      </c>
      <c r="K156" s="183">
        <f t="shared" ca="1" si="148"/>
        <v>1</v>
      </c>
      <c r="L156" s="183">
        <f t="shared" ca="1" si="149"/>
        <v>19336.453518410559</v>
      </c>
      <c r="M156" s="183">
        <f t="shared" ca="1" si="150"/>
        <v>34012.954027844433</v>
      </c>
      <c r="N156" s="183">
        <f t="shared" ca="1" si="151"/>
        <v>18039.459093246554</v>
      </c>
      <c r="O156" s="183">
        <f t="shared" ca="1" si="143"/>
        <v>18039.459093246554</v>
      </c>
      <c r="P156" s="183">
        <f t="shared" ca="1" si="152"/>
        <v>67753.697199847782</v>
      </c>
      <c r="Q156" s="183">
        <f t="shared" ca="1" si="140"/>
        <v>23013.73242756613</v>
      </c>
      <c r="R156" s="183">
        <f t="shared" ca="1" si="145"/>
        <v>5918.5124171730522</v>
      </c>
      <c r="S156" s="81"/>
      <c r="T156" s="108"/>
      <c r="U156" s="108"/>
      <c r="X156" s="75">
        <f ca="1">IFERROR(IF(AND(MAX($A$114:X155)&gt;X155+1, MAX($A$114:X155)&gt;20),0,IF(AND(AA156="",AD156=""),0,IF(OR(AA156&gt;LimitSignB10, AD156&gt;LimitSignB11),X155+1,0))),"")</f>
        <v>0</v>
      </c>
    </row>
    <row r="157" spans="1:42" s="14" customFormat="1" ht="15" customHeight="1" x14ac:dyDescent="0.15">
      <c r="A157" s="75">
        <v>0</v>
      </c>
      <c r="B157" s="76">
        <f ca="1">IFERROR(MyTime(INDEX(INDIRECT("input!"&amp;$B$112&amp;":"&amp;$B$112),FirstRowInput+Integration*COUNT($B$114:B156)) )* $B$110,"")</f>
        <v>3294.4079360000001</v>
      </c>
      <c r="C157" s="77">
        <f ca="1">IFERROR(AVERAGE(INDEX(INDIRECT("input!" &amp; $C$112 &amp; ":" &amp; $C$112),FirstRowInput+Integration*COUNT($B$114:B156)):INDEX(INDIRECT("input!" &amp; $C$112 &amp; ":" &amp; $C$112),FirstRowInput+Integration*COUNT($B$114:B156)+Integration-1))*$C$110,"")</f>
        <v>17605.328428710236</v>
      </c>
      <c r="D157" s="77">
        <f ca="1">IFERROR(AVERAGE(INDEX(INDIRECT("input!" &amp; $D$112 &amp; ":" &amp; $D$112),FirstRowInput+Integration*COUNT($B$114:B156)):INDEX(INDIRECT("input!" &amp; $D$112 &amp; ":" &amp; $D$112),FirstRowInput+Integration*COUNT($B$114:B156)+Integration-1))*$D$110,"")</f>
        <v>30724.378048275787</v>
      </c>
      <c r="E157" s="77">
        <f ca="1">IFERROR(AVERAGE(INDEX(INDIRECT("input!" &amp; $E$112 &amp; ":" &amp; $E$112),FirstRowInput+Integration*COUNT($B$114:B156)):INDEX(INDIRECT("input!" &amp; $E$112 &amp; ":" &amp; $E$112),FirstRowInput+Integration*COUNT($B$114:B156)+Integration-1))*$E$110,"")</f>
        <v>17222.27694275244</v>
      </c>
      <c r="F157" s="77">
        <f ca="1">IFERROR(AVERAGE(INDEX(INDIRECT("input!" &amp; $F$112 &amp; ":" &amp; $F$112),FirstRowInput+Integration*COUNT($B$114:B156)):INDEX(INDIRECT("input!" &amp; $F$112 &amp; ":" &amp; $F$112),FirstRowInput+Integration*COUNT($B$114:B156)+Integration-1))*$F$110,"")</f>
        <v>7999.7718643395074</v>
      </c>
      <c r="G157" s="77">
        <f ca="1">IFERROR(AVERAGE(INDEX(INDIRECT("input!" &amp; $G$112 &amp; ":" &amp; $G$112),FirstRowInput+Integration*COUNT($B$114:B156)):INDEX(INDIRECT("input!" &amp; $G$112 &amp; ":" &amp; $G$112),FirstRowInput+Integration*COUNT($B$114:B156)+Integration-1))*$G$110,"")</f>
        <v>70834.653962160199</v>
      </c>
      <c r="H157" s="77">
        <f ca="1">IFERROR(AVERAGE(INDEX(INDIRECT("input!" &amp; $H$112 &amp; ":" &amp; $H$112),FirstRowInput+Integration*COUNT($B$114:B156)):INDEX(INDIRECT("input!" &amp; $H$112 &amp; ":" &amp; $H$112),FirstRowInput+Integration*COUNT($B$114:B156)+Integration-1))*$H$110,"")</f>
        <v>1036.5941066359196</v>
      </c>
      <c r="I157" s="42">
        <v>45</v>
      </c>
      <c r="J157" s="74">
        <f t="shared" ca="1" si="139"/>
        <v>45</v>
      </c>
      <c r="K157" s="183">
        <f t="shared" ca="1" si="148"/>
        <v>1</v>
      </c>
      <c r="L157" s="183">
        <f t="shared" ca="1" si="149"/>
        <v>17605.328428710236</v>
      </c>
      <c r="M157" s="183">
        <f t="shared" ca="1" si="150"/>
        <v>30724.378048275787</v>
      </c>
      <c r="N157" s="183">
        <f t="shared" ca="1" si="151"/>
        <v>17222.27694275244</v>
      </c>
      <c r="O157" s="183">
        <f t="shared" ca="1" si="143"/>
        <v>17222.27694275244</v>
      </c>
      <c r="P157" s="183">
        <f t="shared" ca="1" si="152"/>
        <v>70834.653962160199</v>
      </c>
      <c r="Q157" s="183">
        <f t="shared" ca="1" si="140"/>
        <v>7999.7718643395074</v>
      </c>
      <c r="R157" s="183">
        <f t="shared" ca="1" si="145"/>
        <v>1036.5941066359196</v>
      </c>
      <c r="S157" s="81"/>
      <c r="T157" s="108"/>
      <c r="U157" s="108"/>
      <c r="X157" s="75">
        <f ca="1">IFERROR(IF(AND(MAX($A$114:X156)&gt;X156+1, MAX($A$114:X156)&gt;20),0,IF(AND(AA157="",AD157=""),0,IF(OR(AA157&gt;LimitSignB10, AD157&gt;LimitSignB11),X156+1,0))),"")</f>
        <v>0</v>
      </c>
    </row>
    <row r="158" spans="1:42" s="14" customFormat="1" ht="15" customHeight="1" x14ac:dyDescent="0.15">
      <c r="A158" s="75">
        <f ca="1">IFERROR(IF(AND(MAX($A$114:A157)&gt;A157+1, MAX($A$114:A157)&gt;20),0,IF(AND(D158="",G158=""),0,IF(OR(D158&gt;LimitSignB10, G158&gt;LimitSignB11),A157+1,0))),"")</f>
        <v>0</v>
      </c>
      <c r="B158" s="76">
        <f ca="1">IFERROR(MyTime(INDEX(INDIRECT("input!"&amp;$B$112&amp;":"&amp;$B$112),FirstRowInput+Integration*COUNT($B$114:B157)) )* $B$110,"")</f>
        <v>3294.4757760000002</v>
      </c>
      <c r="C158" s="77">
        <f ca="1">IFERROR(AVERAGE(INDEX(INDIRECT("input!" &amp; $C$112 &amp; ":" &amp; $C$112),FirstRowInput+Integration*COUNT($B$114:B157)):INDEX(INDIRECT("input!" &amp; $C$112 &amp; ":" &amp; $C$112),FirstRowInput+Integration*COUNT($B$114:B157)+Integration-1))*$C$110,"")</f>
        <v>20521.078035373095</v>
      </c>
      <c r="D158" s="77">
        <f ca="1">IFERROR(AVERAGE(INDEX(INDIRECT("input!" &amp; $D$112 &amp; ":" &amp; $D$112),FirstRowInput+Integration*COUNT($B$114:B157)):INDEX(INDIRECT("input!" &amp; $D$112 &amp; ":" &amp; $D$112),FirstRowInput+Integration*COUNT($B$114:B157)+Integration-1))*$D$110,"")</f>
        <v>30955.14547876795</v>
      </c>
      <c r="E158" s="77">
        <f ca="1">IFERROR(AVERAGE(INDEX(INDIRECT("input!" &amp; $E$112 &amp; ":" &amp; $E$112),FirstRowInput+Integration*COUNT($B$114:B157)):INDEX(INDIRECT("input!" &amp; $E$112 &amp; ":" &amp; $E$112),FirstRowInput+Integration*COUNT($B$114:B157)+Integration-1))*$E$110,"")</f>
        <v>18510.877179377359</v>
      </c>
      <c r="F158" s="77">
        <f ca="1">IFERROR(AVERAGE(INDEX(INDIRECT("input!" &amp; $F$112 &amp; ":" &amp; $F$112),FirstRowInput+Integration*COUNT($B$114:B157)):INDEX(INDIRECT("input!" &amp; $F$112 &amp; ":" &amp; $F$112),FirstRowInput+Integration*COUNT($B$114:B157)+Integration-1))*$F$110,"")</f>
        <v>19619.482388192857</v>
      </c>
      <c r="G158" s="77">
        <f ca="1">IFERROR(AVERAGE(INDEX(INDIRECT("input!" &amp; $G$112 &amp; ":" &amp; $G$112),FirstRowInput+Integration*COUNT($B$114:B157)):INDEX(INDIRECT("input!" &amp; $G$112 &amp; ":" &amp; $G$112),FirstRowInput+Integration*COUNT($B$114:B157)+Integration-1))*$G$110,"")</f>
        <v>73471.301976629853</v>
      </c>
      <c r="H158" s="77">
        <f ca="1">IFERROR(AVERAGE(INDEX(INDIRECT("input!" &amp; $H$112 &amp; ":" &amp; $H$112),FirstRowInput+Integration*COUNT($B$114:B157)):INDEX(INDIRECT("input!" &amp; $H$112 &amp; ":" &amp; $H$112),FirstRowInput+Integration*COUNT($B$114:B157)+Integration-1))*$H$110,"")</f>
        <v>3901.9592225179804</v>
      </c>
      <c r="I158" s="42">
        <v>46</v>
      </c>
      <c r="J158" s="74">
        <f t="shared" ref="J158:J163" ca="1" si="153">IF(K158=1,I158,"")</f>
        <v>46</v>
      </c>
      <c r="K158" s="183">
        <f t="shared" ref="K158:K163" ca="1" si="154">IFERROR(IF(OR(D158&gt;$M$111,G158&gt;$P$111,MAX(A158:A172)&gt;=15),"",1),"")</f>
        <v>1</v>
      </c>
      <c r="L158" s="183">
        <f t="shared" ref="L158:L163" ca="1" si="155">IFERROR(IF($K158=1,C158,""),"")</f>
        <v>20521.078035373095</v>
      </c>
      <c r="M158" s="183">
        <f t="shared" ref="M158:M163" ca="1" si="156">IFERROR(IF($K158=1,D158,""),"")</f>
        <v>30955.14547876795</v>
      </c>
      <c r="N158" s="183">
        <f t="shared" ref="N158:N163" ca="1" si="157">IFERROR(IF($K158=1,E158,""),"")</f>
        <v>18510.877179377359</v>
      </c>
      <c r="O158" s="183">
        <f t="shared" ca="1" si="143"/>
        <v>18510.877179377359</v>
      </c>
      <c r="P158" s="183">
        <f t="shared" ref="P158:P163" ca="1" si="158">IFERROR(IF($K158=1,G158,""),"")</f>
        <v>73471.301976629853</v>
      </c>
      <c r="Q158" s="183">
        <f t="shared" ref="Q158:Q163" ca="1" si="159">IFERROR(IF($K158=1,F158,""),"")</f>
        <v>19619.482388192857</v>
      </c>
      <c r="R158" s="183">
        <f t="shared" ref="R158:R163" ca="1" si="160">IFERROR(IF($K158=1,H158,""),"")</f>
        <v>3901.9592225179804</v>
      </c>
      <c r="S158" s="81"/>
      <c r="U158" s="108"/>
      <c r="V158" s="108"/>
      <c r="X158" s="75">
        <f ca="1">IFERROR(IF(AND(MAX($A$114:X157)&gt;X157+1, MAX($A$114:X157)&gt;20),0,IF(AND(AA158="",AD158=""),0,IF(OR(AA158&gt;LimitSignB10, AD158&gt;LimitSignB11),X157+1,0))),"")</f>
        <v>0</v>
      </c>
    </row>
    <row r="159" spans="1:42" s="14" customFormat="1" ht="15" customHeight="1" x14ac:dyDescent="0.15">
      <c r="A159" s="75">
        <f ca="1">IFERROR(IF(AND(MAX($A$114:A158)&gt;A158+1, MAX($A$114:A158)&gt;20),0,IF(AND(D159="",G159=""),0,IF(OR(D159&gt;LimitSignB10, G159&gt;LimitSignB11),A158+1,0))),"")</f>
        <v>0</v>
      </c>
      <c r="B159" s="76">
        <f ca="1">IFERROR(MyTime(INDEX(INDIRECT("input!"&amp;$B$112&amp;":"&amp;$B$112),FirstRowInput+Integration*COUNT($B$114:B158)) )* $B$110,"")</f>
        <v>3294.5443840000003</v>
      </c>
      <c r="C159" s="77">
        <f ca="1">IFERROR(AVERAGE(INDEX(INDIRECT("input!" &amp; $C$112 &amp; ":" &amp; $C$112),FirstRowInput+Integration*COUNT($B$114:B158)):INDEX(INDIRECT("input!" &amp; $C$112 &amp; ":" &amp; $C$112),FirstRowInput+Integration*COUNT($B$114:B158)+Integration-1))*$C$110,"")</f>
        <v>21860.185875848674</v>
      </c>
      <c r="D159" s="77">
        <f ca="1">IFERROR(AVERAGE(INDEX(INDIRECT("input!" &amp; $D$112 &amp; ":" &amp; $D$112),FirstRowInput+Integration*COUNT($B$114:B158)):INDEX(INDIRECT("input!" &amp; $D$112 &amp; ":" &amp; $D$112),FirstRowInput+Integration*COUNT($B$114:B158)+Integration-1))*$D$110,"")</f>
        <v>33297.026068705156</v>
      </c>
      <c r="E159" s="77">
        <f ca="1">IFERROR(AVERAGE(INDEX(INDIRECT("input!" &amp; $E$112 &amp; ":" &amp; $E$112),FirstRowInput+Integration*COUNT($B$114:B158)):INDEX(INDIRECT("input!" &amp; $E$112 &amp; ":" &amp; $E$112),FirstRowInput+Integration*COUNT($B$114:B158)+Integration-1))*$E$110,"")</f>
        <v>19643.900266825287</v>
      </c>
      <c r="F159" s="77">
        <f ca="1">IFERROR(AVERAGE(INDEX(INDIRECT("input!" &amp; $F$112 &amp; ":" &amp; $F$112),FirstRowInput+Integration*COUNT($B$114:B158)):INDEX(INDIRECT("input!" &amp; $F$112 &amp; ":" &amp; $F$112),FirstRowInput+Integration*COUNT($B$114:B158)+Integration-1))*$F$110,"")</f>
        <v>1963.9383213529436</v>
      </c>
      <c r="G159" s="77">
        <f ca="1">IFERROR(AVERAGE(INDEX(INDIRECT("input!" &amp; $G$112 &amp; ":" &amp; $G$112),FirstRowInput+Integration*COUNT($B$114:B158)):INDEX(INDIRECT("input!" &amp; $G$112 &amp; ":" &amp; $G$112),FirstRowInput+Integration*COUNT($B$114:B158)+Integration-1))*$G$110,"")</f>
        <v>65888.007643541612</v>
      </c>
      <c r="H159" s="77">
        <f ca="1">IFERROR(AVERAGE(INDEX(INDIRECT("input!" &amp; $H$112 &amp; ":" &amp; $H$112),FirstRowInput+Integration*COUNT($B$114:B158)):INDEX(INDIRECT("input!" &amp; $H$112 &amp; ":" &amp; $H$112),FirstRowInput+Integration*COUNT($B$114:B158)+Integration-1))*$H$110,"")</f>
        <v>8257.1064951692933</v>
      </c>
      <c r="I159" s="42">
        <v>47</v>
      </c>
      <c r="J159" s="74">
        <f t="shared" ca="1" si="153"/>
        <v>47</v>
      </c>
      <c r="K159" s="183">
        <f t="shared" ca="1" si="154"/>
        <v>1</v>
      </c>
      <c r="L159" s="183">
        <f t="shared" ca="1" si="155"/>
        <v>21860.185875848674</v>
      </c>
      <c r="M159" s="183">
        <f t="shared" ca="1" si="156"/>
        <v>33297.026068705156</v>
      </c>
      <c r="N159" s="183">
        <f t="shared" ca="1" si="157"/>
        <v>19643.900266825287</v>
      </c>
      <c r="O159" s="183">
        <f t="shared" ca="1" si="143"/>
        <v>19643.900266825287</v>
      </c>
      <c r="P159" s="183">
        <f t="shared" ca="1" si="158"/>
        <v>65888.007643541612</v>
      </c>
      <c r="Q159" s="183">
        <f t="shared" ca="1" si="159"/>
        <v>1963.9383213529436</v>
      </c>
      <c r="R159" s="183">
        <f t="shared" ca="1" si="145"/>
        <v>8257.1064951692933</v>
      </c>
      <c r="S159" s="81"/>
      <c r="U159" s="108"/>
      <c r="V159" s="108"/>
      <c r="X159" s="75">
        <f ca="1">IFERROR(IF(AND(MAX($A$114:X158)&gt;X158+1, MAX($A$114:X158)&gt;20),0,IF(AND(AA159="",AD159=""),0,IF(OR(AA159&gt;LimitSignB10, AD159&gt;LimitSignB11),X158+1,0))),"")</f>
        <v>0</v>
      </c>
    </row>
    <row r="160" spans="1:42" s="14" customFormat="1" ht="15" customHeight="1" x14ac:dyDescent="0.15">
      <c r="A160" s="75">
        <f ca="1">IFERROR(IF(AND(MAX($A$114:A159)&gt;A159+1, MAX($A$114:A159)&gt;20),0,IF(AND(D160="",G160=""),0,IF(OR(D160&gt;LimitSignB10, G160&gt;LimitSignB11),A159+1,0))),"")</f>
        <v>0</v>
      </c>
      <c r="B160" s="76">
        <f ca="1">IFERROR(MyTime(INDEX(INDIRECT("input!"&amp;$B$112&amp;":"&amp;$B$112),FirstRowInput+Integration*COUNT($B$114:B159)) )* $B$110,"")</f>
        <v>3294.612224</v>
      </c>
      <c r="C160" s="77">
        <f ca="1">IFERROR(AVERAGE(INDEX(INDIRECT("input!" &amp; $C$112 &amp; ":" &amp; $C$112),FirstRowInput+Integration*COUNT($B$114:B159)):INDEX(INDIRECT("input!" &amp; $C$112 &amp; ":" &amp; $C$112),FirstRowInput+Integration*COUNT($B$114:B159)+Integration-1))*$C$110,"")</f>
        <v>21822.348986193723</v>
      </c>
      <c r="D160" s="77">
        <f ca="1">IFERROR(AVERAGE(INDEX(INDIRECT("input!" &amp; $D$112 &amp; ":" &amp; $D$112),FirstRowInput+Integration*COUNT($B$114:B159)):INDEX(INDIRECT("input!" &amp; $D$112 &amp; ":" &amp; $D$112),FirstRowInput+Integration*COUNT($B$114:B159)+Integration-1))*$D$110,"")</f>
        <v>32506.607055597608</v>
      </c>
      <c r="E160" s="77">
        <f ca="1">IFERROR(AVERAGE(INDEX(INDIRECT("input!" &amp; $E$112 &amp; ":" &amp; $E$112),FirstRowInput+Integration*COUNT($B$114:B159)):INDEX(INDIRECT("input!" &amp; $E$112 &amp; ":" &amp; $E$112),FirstRowInput+Integration*COUNT($B$114:B159)+Integration-1))*$E$110,"")</f>
        <v>18129.800316602083</v>
      </c>
      <c r="F160" s="77">
        <f ca="1">IFERROR(AVERAGE(INDEX(INDIRECT("input!" &amp; $F$112 &amp; ":" &amp; $F$112),FirstRowInput+Integration*COUNT($B$114:B159)):INDEX(INDIRECT("input!" &amp; $F$112 &amp; ":" &amp; $F$112),FirstRowInput+Integration*COUNT($B$114:B159)+Integration-1))*$F$110,"")</f>
        <v>15412.292135149168</v>
      </c>
      <c r="G160" s="77">
        <f ca="1">IFERROR(AVERAGE(INDEX(INDIRECT("input!" &amp; $G$112 &amp; ":" &amp; $G$112),FirstRowInput+Integration*COUNT($B$114:B159)):INDEX(INDIRECT("input!" &amp; $G$112 &amp; ":" &amp; $G$112),FirstRowInput+Integration*COUNT($B$114:B159)+Integration-1))*$G$110,"")</f>
        <v>66880.541925187543</v>
      </c>
      <c r="H160" s="77">
        <f ca="1">IFERROR(AVERAGE(INDEX(INDIRECT("input!" &amp; $H$112 &amp; ":" &amp; $H$112),FirstRowInput+Integration*COUNT($B$114:B159)):INDEX(INDIRECT("input!" &amp; $H$112 &amp; ":" &amp; $H$112),FirstRowInput+Integration*COUNT($B$114:B159)+Integration-1))*$H$110,"")</f>
        <v>12667.769043321974</v>
      </c>
      <c r="I160" s="42">
        <v>48</v>
      </c>
      <c r="J160" s="74">
        <f t="shared" ca="1" si="153"/>
        <v>48</v>
      </c>
      <c r="K160" s="183">
        <f t="shared" ca="1" si="154"/>
        <v>1</v>
      </c>
      <c r="L160" s="183">
        <f t="shared" ca="1" si="155"/>
        <v>21822.348986193723</v>
      </c>
      <c r="M160" s="183">
        <f t="shared" ca="1" si="156"/>
        <v>32506.607055597608</v>
      </c>
      <c r="N160" s="183">
        <f t="shared" ca="1" si="157"/>
        <v>18129.800316602083</v>
      </c>
      <c r="O160" s="183">
        <f t="shared" ca="1" si="143"/>
        <v>18129.800316602083</v>
      </c>
      <c r="P160" s="183">
        <f t="shared" ca="1" si="158"/>
        <v>66880.541925187543</v>
      </c>
      <c r="Q160" s="183">
        <f t="shared" ca="1" si="159"/>
        <v>15412.292135149168</v>
      </c>
      <c r="R160" s="183">
        <f t="shared" ca="1" si="160"/>
        <v>12667.769043321974</v>
      </c>
      <c r="S160" s="81"/>
      <c r="U160" s="108"/>
      <c r="V160" s="108"/>
      <c r="X160" s="75">
        <f ca="1">IFERROR(IF(AND(MAX($A$114:X159)&gt;X159+1, MAX($A$114:X159)&gt;20),0,IF(AND(AA160="",AD160=""),0,IF(OR(AA160&gt;LimitSignB10, AD160&gt;LimitSignB11),X159+1,0))),"")</f>
        <v>0</v>
      </c>
    </row>
    <row r="161" spans="1:24" s="14" customFormat="1" ht="15" customHeight="1" x14ac:dyDescent="0.15">
      <c r="A161" s="75">
        <f ca="1">IFERROR(IF(AND(MAX($A$114:A160)&gt;A160+1, MAX($A$114:A160)&gt;20),0,IF(AND(D161="",G161=""),0,IF(OR(D161&gt;LimitSignB10, G161&gt;LimitSignB11),A160+1,0))),"")</f>
        <v>0</v>
      </c>
      <c r="B161" s="76">
        <f ca="1">IFERROR(MyTime(INDEX(INDIRECT("input!"&amp;$B$112&amp;":"&amp;$B$112),FirstRowInput+Integration*COUNT($B$114:B160)) )* $B$110,"")</f>
        <v>3294.6803199999999</v>
      </c>
      <c r="C161" s="77">
        <f ca="1">IFERROR(AVERAGE(INDEX(INDIRECT("input!" &amp; $C$112 &amp; ":" &amp; $C$112),FirstRowInput+Integration*COUNT($B$114:B160)):INDEX(INDIRECT("input!" &amp; $C$112 &amp; ":" &amp; $C$112),FirstRowInput+Integration*COUNT($B$114:B160)+Integration-1))*$C$110,"")</f>
        <v>19712.450909467803</v>
      </c>
      <c r="D161" s="77">
        <f ca="1">IFERROR(AVERAGE(INDEX(INDIRECT("input!" &amp; $D$112 &amp; ":" &amp; $D$112),FirstRowInput+Integration*COUNT($B$114:B160)):INDEX(INDIRECT("input!" &amp; $D$112 &amp; ":" &amp; $D$112),FirstRowInput+Integration*COUNT($B$114:B160)+Integration-1))*$D$110,"")</f>
        <v>32997.718800864415</v>
      </c>
      <c r="E161" s="77">
        <f ca="1">IFERROR(AVERAGE(INDEX(INDIRECT("input!" &amp; $E$112 &amp; ":" &amp; $E$112),FirstRowInput+Integration*COUNT($B$114:B160)):INDEX(INDIRECT("input!" &amp; $E$112 &amp; ":" &amp; $E$112),FirstRowInput+Integration*COUNT($B$114:B160)+Integration-1))*$E$110,"")</f>
        <v>18405.895755505626</v>
      </c>
      <c r="F161" s="77">
        <f ca="1">IFERROR(AVERAGE(INDEX(INDIRECT("input!" &amp; $F$112 &amp; ":" &amp; $F$112),FirstRowInput+Integration*COUNT($B$114:B160)):INDEX(INDIRECT("input!" &amp; $F$112 &amp; ":" &amp; $F$112),FirstRowInput+Integration*COUNT($B$114:B160)+Integration-1))*$F$110,"")</f>
        <v>109.90439323993833</v>
      </c>
      <c r="G161" s="77">
        <f ca="1">IFERROR(AVERAGE(INDEX(INDIRECT("input!" &amp; $G$112 &amp; ":" &amp; $G$112),FirstRowInput+Integration*COUNT($B$114:B160)):INDEX(INDIRECT("input!" &amp; $G$112 &amp; ":" &amp; $G$112),FirstRowInput+Integration*COUNT($B$114:B160)+Integration-1))*$G$110,"")</f>
        <v>68729.652367547809</v>
      </c>
      <c r="H161" s="77">
        <f ca="1">IFERROR(AVERAGE(INDEX(INDIRECT("input!" &amp; $H$112 &amp; ":" &amp; $H$112),FirstRowInput+Integration*COUNT($B$114:B160)):INDEX(INDIRECT("input!" &amp; $H$112 &amp; ":" &amp; $H$112),FirstRowInput+Integration*COUNT($B$114:B160)+Integration-1))*$H$110,"")</f>
        <v>21496.359045386722</v>
      </c>
      <c r="I161" s="42">
        <v>49</v>
      </c>
      <c r="J161" s="74">
        <f t="shared" ca="1" si="153"/>
        <v>49</v>
      </c>
      <c r="K161" s="183">
        <f t="shared" ca="1" si="154"/>
        <v>1</v>
      </c>
      <c r="L161" s="183">
        <f t="shared" ca="1" si="155"/>
        <v>19712.450909467803</v>
      </c>
      <c r="M161" s="183">
        <f t="shared" ca="1" si="156"/>
        <v>32997.718800864415</v>
      </c>
      <c r="N161" s="183">
        <f t="shared" ca="1" si="157"/>
        <v>18405.895755505626</v>
      </c>
      <c r="O161" s="183">
        <f t="shared" ca="1" si="143"/>
        <v>18405.895755505626</v>
      </c>
      <c r="P161" s="183">
        <f t="shared" ca="1" si="158"/>
        <v>68729.652367547809</v>
      </c>
      <c r="Q161" s="183">
        <f t="shared" ca="1" si="159"/>
        <v>109.90439323993833</v>
      </c>
      <c r="R161" s="183">
        <f t="shared" ca="1" si="160"/>
        <v>21496.359045386722</v>
      </c>
      <c r="S161" s="81"/>
      <c r="U161" s="108"/>
      <c r="V161" s="108"/>
      <c r="X161" s="75">
        <f ca="1">IFERROR(IF(AND(MAX($A$114:X160)&gt;X160+1, MAX($A$114:X160)&gt;20),0,IF(AND(AA161="",AD161=""),0,IF(OR(AA161&gt;LimitSignB10, AD161&gt;LimitSignB11),X160+1,0))),"")</f>
        <v>0</v>
      </c>
    </row>
    <row r="162" spans="1:24" s="14" customFormat="1" ht="15" customHeight="1" x14ac:dyDescent="0.15">
      <c r="A162" s="75">
        <f ca="1">IFERROR(IF(AND(MAX($A$114:A161)&gt;A161+1, MAX($A$114:A161)&gt;20),0,IF(AND(D162="",G162=""),0,IF(OR(D162&gt;LimitSignB10, G162&gt;LimitSignB11),A161+1,0))),"")</f>
        <v>0</v>
      </c>
      <c r="B162" s="76">
        <f ca="1">IFERROR(MyTime(INDEX(INDIRECT("input!"&amp;$B$112&amp;":"&amp;$B$112),FirstRowInput+Integration*COUNT($B$114:B161)) )* $B$110,"")</f>
        <v>3294.7484160000004</v>
      </c>
      <c r="C162" s="77">
        <f ca="1">IFERROR(AVERAGE(INDEX(INDIRECT("input!" &amp; $C$112 &amp; ":" &amp; $C$112),FirstRowInput+Integration*COUNT($B$114:B161)):INDEX(INDIRECT("input!" &amp; $C$112 &amp; ":" &amp; $C$112),FirstRowInput+Integration*COUNT($B$114:B161)+Integration-1))*$C$110,"")</f>
        <v>18085.582223890331</v>
      </c>
      <c r="D162" s="77">
        <f ca="1">IFERROR(AVERAGE(INDEX(INDIRECT("input!" &amp; $D$112 &amp; ":" &amp; $D$112),FirstRowInput+Integration*COUNT($B$114:B161)):INDEX(INDIRECT("input!" &amp; $D$112 &amp; ":" &amp; $D$112),FirstRowInput+Integration*COUNT($B$114:B161)+Integration-1))*$D$110,"")</f>
        <v>32365.205966752841</v>
      </c>
      <c r="E162" s="77">
        <f ca="1">IFERROR(AVERAGE(INDEX(INDIRECT("input!" &amp; $E$112 &amp; ":" &amp; $E$112),FirstRowInput+Integration*COUNT($B$114:B161)):INDEX(INDIRECT("input!" &amp; $E$112 &amp; ":" &amp; $E$112),FirstRowInput+Integration*COUNT($B$114:B161)+Integration-1))*$E$110,"")</f>
        <v>17849.352174298132</v>
      </c>
      <c r="F162" s="77">
        <f ca="1">IFERROR(AVERAGE(INDEX(INDIRECT("input!" &amp; $F$112 &amp; ":" &amp; $F$112),FirstRowInput+Integration*COUNT($B$114:B161)):INDEX(INDIRECT("input!" &amp; $F$112 &amp; ":" &amp; $F$112),FirstRowInput+Integration*COUNT($B$114:B161)+Integration-1))*$F$110,"")</f>
        <v>11305.777966349131</v>
      </c>
      <c r="G162" s="77">
        <f ca="1">IFERROR(AVERAGE(INDEX(INDIRECT("input!" &amp; $G$112 &amp; ":" &amp; $G$112),FirstRowInput+Integration*COUNT($B$114:B161)):INDEX(INDIRECT("input!" &amp; $G$112 &amp; ":" &amp; $G$112),FirstRowInput+Integration*COUNT($B$114:B161)+Integration-1))*$G$110,"")</f>
        <v>71242.432760280295</v>
      </c>
      <c r="H162" s="77">
        <f ca="1">IFERROR(AVERAGE(INDEX(INDIRECT("input!" &amp; $H$112 &amp; ":" &amp; $H$112),FirstRowInput+Integration*COUNT($B$114:B161)):INDEX(INDIRECT("input!" &amp; $H$112 &amp; ":" &amp; $H$112),FirstRowInput+Integration*COUNT($B$114:B161)+Integration-1))*$H$110,"")</f>
        <v>12418.320094366243</v>
      </c>
      <c r="I162" s="42">
        <v>50</v>
      </c>
      <c r="J162" s="74">
        <f t="shared" ca="1" si="153"/>
        <v>50</v>
      </c>
      <c r="K162" s="183">
        <f t="shared" ca="1" si="154"/>
        <v>1</v>
      </c>
      <c r="L162" s="183">
        <f t="shared" ca="1" si="155"/>
        <v>18085.582223890331</v>
      </c>
      <c r="M162" s="183">
        <f t="shared" ca="1" si="156"/>
        <v>32365.205966752841</v>
      </c>
      <c r="N162" s="183">
        <f t="shared" ca="1" si="157"/>
        <v>17849.352174298132</v>
      </c>
      <c r="O162" s="183">
        <f t="shared" ca="1" si="143"/>
        <v>17849.352174298132</v>
      </c>
      <c r="P162" s="183">
        <f t="shared" ca="1" si="158"/>
        <v>71242.432760280295</v>
      </c>
      <c r="Q162" s="183">
        <f t="shared" ca="1" si="159"/>
        <v>11305.777966349131</v>
      </c>
      <c r="R162" s="183">
        <f t="shared" ca="1" si="160"/>
        <v>12418.320094366243</v>
      </c>
      <c r="S162" s="81"/>
      <c r="U162" s="108"/>
      <c r="V162" s="108"/>
      <c r="X162" s="75">
        <f ca="1">IFERROR(IF(AND(MAX($A$114:X161)&gt;X161+1, MAX($A$114:X161)&gt;20),0,IF(AND(AA162="",AD162=""),0,IF(OR(AA162&gt;LimitSignB10, AD162&gt;LimitSignB11),X161+1,0))),"")</f>
        <v>0</v>
      </c>
    </row>
    <row r="163" spans="1:24" s="14" customFormat="1" ht="15" customHeight="1" x14ac:dyDescent="0.15">
      <c r="A163" s="75">
        <f ca="1">IFERROR(IF(AND(MAX($A$114:A162)&gt;A162+1, MAX($A$114:A162)&gt;20),0,IF(AND(D163="",G163=""),0,IF(OR(D163&gt;LimitSignB10, G163&gt;LimitSignB11),A162+1,0))),"")</f>
        <v>0</v>
      </c>
      <c r="B163" s="76">
        <f ca="1">IFERROR(MyTime(INDEX(INDIRECT("input!"&amp;$B$112&amp;":"&amp;$B$112),FirstRowInput+Integration*COUNT($B$114:B162)) )* $B$110,"")</f>
        <v>3294.8167680000001</v>
      </c>
      <c r="C163" s="77">
        <f ca="1">IFERROR(AVERAGE(INDEX(INDIRECT("input!" &amp; $C$112 &amp; ":" &amp; $C$112),FirstRowInput+Integration*COUNT($B$114:B162)):INDEX(INDIRECT("input!" &amp; $C$112 &amp; ":" &amp; $C$112),FirstRowInput+Integration*COUNT($B$114:B162)+Integration-1))*$C$110,"")</f>
        <v>18699.448128604901</v>
      </c>
      <c r="D163" s="77">
        <f ca="1">IFERROR(AVERAGE(INDEX(INDIRECT("input!" &amp; $D$112 &amp; ":" &amp; $D$112),FirstRowInput+Integration*COUNT($B$114:B162)):INDEX(INDIRECT("input!" &amp; $D$112 &amp; ":" &amp; $D$112),FirstRowInput+Integration*COUNT($B$114:B162)+Integration-1))*$D$110,"")</f>
        <v>34106.329103412012</v>
      </c>
      <c r="E163" s="77">
        <f ca="1">IFERROR(AVERAGE(INDEX(INDIRECT("input!" &amp; $E$112 &amp; ":" &amp; $E$112),FirstRowInput+Integration*COUNT($B$114:B162)):INDEX(INDIRECT("input!" &amp; $E$112 &amp; ":" &amp; $E$112),FirstRowInput+Integration*COUNT($B$114:B162)+Integration-1))*$E$110,"")</f>
        <v>17861.838469231909</v>
      </c>
      <c r="F163" s="77">
        <f ca="1">IFERROR(AVERAGE(INDEX(INDIRECT("input!" &amp; $F$112 &amp; ":" &amp; $F$112),FirstRowInput+Integration*COUNT($B$114:B162)):INDEX(INDIRECT("input!" &amp; $F$112 &amp; ":" &amp; $F$112),FirstRowInput+Integration*COUNT($B$114:B162)+Integration-1))*$F$110,"")</f>
        <v>14780.982662516304</v>
      </c>
      <c r="G163" s="77">
        <f ca="1">IFERROR(AVERAGE(INDEX(INDIRECT("input!" &amp; $G$112 &amp; ":" &amp; $G$112),FirstRowInput+Integration*COUNT($B$114:B162)):INDEX(INDIRECT("input!" &amp; $G$112 &amp; ":" &amp; $G$112),FirstRowInput+Integration*COUNT($B$114:B162)+Integration-1))*$G$110,"")</f>
        <v>69028.576227146652</v>
      </c>
      <c r="H163" s="77">
        <f ca="1">IFERROR(AVERAGE(INDEX(INDIRECT("input!" &amp; $H$112 &amp; ":" &amp; $H$112),FirstRowInput+Integration*COUNT($B$114:B162)):INDEX(INDIRECT("input!" &amp; $H$112 &amp; ":" &amp; $H$112),FirstRowInput+Integration*COUNT($B$114:B162)+Integration-1))*$H$110,"")</f>
        <v>22738.158218649307</v>
      </c>
      <c r="I163" s="42">
        <v>51</v>
      </c>
      <c r="J163" s="74">
        <f t="shared" ca="1" si="153"/>
        <v>51</v>
      </c>
      <c r="K163" s="183">
        <f t="shared" ca="1" si="154"/>
        <v>1</v>
      </c>
      <c r="L163" s="183">
        <f t="shared" ca="1" si="155"/>
        <v>18699.448128604901</v>
      </c>
      <c r="M163" s="183">
        <f t="shared" ca="1" si="156"/>
        <v>34106.329103412012</v>
      </c>
      <c r="N163" s="183">
        <f t="shared" ca="1" si="157"/>
        <v>17861.838469231909</v>
      </c>
      <c r="O163" s="183">
        <f t="shared" ca="1" si="143"/>
        <v>17861.838469231909</v>
      </c>
      <c r="P163" s="183">
        <f t="shared" ca="1" si="158"/>
        <v>69028.576227146652</v>
      </c>
      <c r="Q163" s="183">
        <f t="shared" ca="1" si="159"/>
        <v>14780.982662516304</v>
      </c>
      <c r="R163" s="183">
        <f t="shared" ca="1" si="160"/>
        <v>22738.158218649307</v>
      </c>
      <c r="S163" s="81"/>
      <c r="U163" s="108"/>
      <c r="V163" s="108"/>
      <c r="X163" s="75">
        <f ca="1">IFERROR(IF(AND(MAX($A$114:X162)&gt;X162+1, MAX($A$114:X162)&gt;20),0,IF(AND(AA163="",AD163=""),0,IF(OR(AA163&gt;LimitSignB10, AD163&gt;LimitSignB11),X162+1,0))),"")</f>
        <v>0</v>
      </c>
    </row>
    <row r="164" spans="1:24" s="14" customFormat="1" ht="15" customHeight="1" x14ac:dyDescent="0.15">
      <c r="A164" s="75">
        <f ca="1">IFERROR(IF(AND(MAX($A$114:A163)&gt;A163+1, MAX($A$114:A163)&gt;20),0,IF(AND(D164="",G164=""),0,IF(OR(D164&gt;LimitSignB10, G164&gt;LimitSignB11),A163+1,0))),"")</f>
        <v>0</v>
      </c>
      <c r="B164" s="76">
        <f ca="1">IFERROR(MyTime(INDEX(INDIRECT("input!"&amp;$B$112&amp;":"&amp;$B$112),FirstRowInput+Integration*COUNT($B$114:B163)) )* $B$110,"")</f>
        <v>3294.8846080000003</v>
      </c>
      <c r="C164" s="77">
        <f ca="1">IFERROR(AVERAGE(INDEX(INDIRECT("input!" &amp; $C$112 &amp; ":" &amp; $C$112),FirstRowInput+Integration*COUNT($B$114:B163)):INDEX(INDIRECT("input!" &amp; $C$112 &amp; ":" &amp; $C$112),FirstRowInput+Integration*COUNT($B$114:B163)+Integration-1))*$C$110,"")</f>
        <v>20918.144926727258</v>
      </c>
      <c r="D164" s="77">
        <f ca="1">IFERROR(AVERAGE(INDEX(INDIRECT("input!" &amp; $D$112 &amp; ":" &amp; $D$112),FirstRowInput+Integration*COUNT($B$114:B163)):INDEX(INDIRECT("input!" &amp; $D$112 &amp; ":" &amp; $D$112),FirstRowInput+Integration*COUNT($B$114:B163)+Integration-1))*$D$110,"")</f>
        <v>30265.435371509335</v>
      </c>
      <c r="E164" s="77">
        <f ca="1">IFERROR(AVERAGE(INDEX(INDIRECT("input!" &amp; $E$112 &amp; ":" &amp; $E$112),FirstRowInput+Integration*COUNT($B$114:B163)):INDEX(INDIRECT("input!" &amp; $E$112 &amp; ":" &amp; $E$112),FirstRowInput+Integration*COUNT($B$114:B163)+Integration-1))*$E$110,"")</f>
        <v>17625.808522587969</v>
      </c>
      <c r="F164" s="77">
        <f ca="1">IFERROR(AVERAGE(INDEX(INDIRECT("input!" &amp; $F$112 &amp; ":" &amp; $F$112),FirstRowInput+Integration*COUNT($B$114:B163)):INDEX(INDIRECT("input!" &amp; $F$112 &amp; ":" &amp; $F$112),FirstRowInput+Integration*COUNT($B$114:B163)+Integration-1))*$F$110,"")</f>
        <v>14419.58867834659</v>
      </c>
      <c r="G164" s="77">
        <f ca="1">IFERROR(AVERAGE(INDEX(INDIRECT("input!" &amp; $G$112 &amp; ":" &amp; $G$112),FirstRowInput+Integration*COUNT($B$114:B163)):INDEX(INDIRECT("input!" &amp; $G$112 &amp; ":" &amp; $G$112),FirstRowInput+Integration*COUNT($B$114:B163)+Integration-1))*$G$110,"")</f>
        <v>73099.639724333669</v>
      </c>
      <c r="H164" s="77">
        <f ca="1">IFERROR(AVERAGE(INDEX(INDIRECT("input!" &amp; $H$112 &amp; ":" &amp; $H$112),FirstRowInput+Integration*COUNT($B$114:B163)):INDEX(INDIRECT("input!" &amp; $H$112 &amp; ":" &amp; $H$112),FirstRowInput+Integration*COUNT($B$114:B163)+Integration-1))*$H$110,"")</f>
        <v>12947.652610846948</v>
      </c>
      <c r="I164" s="42">
        <v>52</v>
      </c>
      <c r="J164" s="74">
        <f t="shared" ca="1" si="139"/>
        <v>52</v>
      </c>
      <c r="K164" s="183">
        <f t="shared" ca="1" si="148"/>
        <v>1</v>
      </c>
      <c r="L164" s="183">
        <f t="shared" ca="1" si="149"/>
        <v>20918.144926727258</v>
      </c>
      <c r="M164" s="183">
        <f t="shared" ca="1" si="150"/>
        <v>30265.435371509335</v>
      </c>
      <c r="N164" s="183">
        <f t="shared" ca="1" si="151"/>
        <v>17625.808522587969</v>
      </c>
      <c r="O164" s="183">
        <f t="shared" ca="1" si="143"/>
        <v>17625.808522587969</v>
      </c>
      <c r="P164" s="183">
        <f t="shared" ca="1" si="152"/>
        <v>73099.639724333669</v>
      </c>
      <c r="Q164" s="183">
        <f t="shared" ca="1" si="140"/>
        <v>14419.58867834659</v>
      </c>
      <c r="R164" s="183">
        <f t="shared" ca="1" si="145"/>
        <v>12947.652610846948</v>
      </c>
      <c r="S164" s="81"/>
      <c r="U164" s="108"/>
      <c r="V164" s="108"/>
      <c r="X164" s="75">
        <f ca="1">IFERROR(IF(AND(MAX($A$114:X163)&gt;X163+1, MAX($A$114:X163)&gt;20),0,IF(AND(AA164="",AD164=""),0,IF(OR(AA164&gt;LimitSignB10, AD164&gt;LimitSignB11),X163+1,0))),"")</f>
        <v>0</v>
      </c>
    </row>
    <row r="165" spans="1:24" s="14" customFormat="1" ht="15" customHeight="1" x14ac:dyDescent="0.15">
      <c r="A165" s="75">
        <f ca="1">IFERROR(IF(AND(MAX($A$114:A164)&gt;A164+1, MAX($A$114:A164)&gt;20),0,IF(AND(D165="",G165=""),0,IF(OR(D165&gt;LimitSignB10, G165&gt;LimitSignB11),A164+1,0))),"")</f>
        <v>0</v>
      </c>
      <c r="B165" s="76">
        <f ca="1">IFERROR(MyTime(INDEX(INDIRECT("input!"&amp;$B$112&amp;":"&amp;$B$112),FirstRowInput+Integration*COUNT($B$114:B164)) )* $B$110,"")</f>
        <v>3294.952448</v>
      </c>
      <c r="C165" s="77">
        <f ca="1">IFERROR(AVERAGE(INDEX(INDIRECT("input!" &amp; $C$112 &amp; ":" &amp; $C$112),FirstRowInput+Integration*COUNT($B$114:B164)):INDEX(INDIRECT("input!" &amp; $C$112 &amp; ":" &amp; $C$112),FirstRowInput+Integration*COUNT($B$114:B164)+Integration-1))*$C$110,"")</f>
        <v>19699.768946628701</v>
      </c>
      <c r="D165" s="77">
        <f ca="1">IFERROR(AVERAGE(INDEX(INDIRECT("input!" &amp; $D$112 &amp; ":" &amp; $D$112),FirstRowInput+Integration*COUNT($B$114:B164)):INDEX(INDIRECT("input!" &amp; $D$112 &amp; ":" &amp; $D$112),FirstRowInput+Integration*COUNT($B$114:B164)+Integration-1))*$D$110,"")</f>
        <v>31606.628009205971</v>
      </c>
      <c r="E165" s="77">
        <f ca="1">IFERROR(AVERAGE(INDEX(INDIRECT("input!" &amp; $E$112 &amp; ":" &amp; $E$112),FirstRowInput+Integration*COUNT($B$114:B164)):INDEX(INDIRECT("input!" &amp; $E$112 &amp; ":" &amp; $E$112),FirstRowInput+Integration*COUNT($B$114:B164)+Integration-1))*$E$110,"")</f>
        <v>17566.4713234915</v>
      </c>
      <c r="F165" s="77">
        <f ca="1">IFERROR(AVERAGE(INDEX(INDIRECT("input!" &amp; $F$112 &amp; ":" &amp; $F$112),FirstRowInput+Integration*COUNT($B$114:B164)):INDEX(INDIRECT("input!" &amp; $F$112 &amp; ":" &amp; $F$112),FirstRowInput+Integration*COUNT($B$114:B164)+Integration-1))*$F$110,"")</f>
        <v>18508.450154252885</v>
      </c>
      <c r="G165" s="77">
        <f ca="1">IFERROR(AVERAGE(INDEX(INDIRECT("input!" &amp; $G$112 &amp; ":" &amp; $G$112),FirstRowInput+Integration*COUNT($B$114:B164)):INDEX(INDIRECT("input!" &amp; $G$112 &amp; ":" &amp; $G$112),FirstRowInput+Integration*COUNT($B$114:B164)+Integration-1))*$G$110,"")</f>
        <v>71092.727892081166</v>
      </c>
      <c r="H165" s="77">
        <f ca="1">IFERROR(AVERAGE(INDEX(INDIRECT("input!" &amp; $H$112 &amp; ":" &amp; $H$112),FirstRowInput+Integration*COUNT($B$114:B164)):INDEX(INDIRECT("input!" &amp; $H$112 &amp; ":" &amp; $H$112),FirstRowInput+Integration*COUNT($B$114:B164)+Integration-1))*$H$110,"")</f>
        <v>21952.395730309574</v>
      </c>
      <c r="I165" s="42">
        <v>53</v>
      </c>
      <c r="J165" s="74">
        <f t="shared" ca="1" si="139"/>
        <v>53</v>
      </c>
      <c r="K165" s="183">
        <f t="shared" ca="1" si="148"/>
        <v>1</v>
      </c>
      <c r="L165" s="183">
        <f t="shared" ca="1" si="149"/>
        <v>19699.768946628701</v>
      </c>
      <c r="M165" s="183">
        <f t="shared" ca="1" si="150"/>
        <v>31606.628009205971</v>
      </c>
      <c r="N165" s="183">
        <f t="shared" ca="1" si="151"/>
        <v>17566.4713234915</v>
      </c>
      <c r="O165" s="183">
        <f t="shared" ca="1" si="143"/>
        <v>17566.4713234915</v>
      </c>
      <c r="P165" s="183">
        <f t="shared" ca="1" si="152"/>
        <v>71092.727892081166</v>
      </c>
      <c r="Q165" s="183">
        <f t="shared" ca="1" si="140"/>
        <v>18508.450154252885</v>
      </c>
      <c r="R165" s="183">
        <f t="shared" ca="1" si="145"/>
        <v>21952.395730309574</v>
      </c>
      <c r="S165" s="81"/>
      <c r="U165" s="108"/>
      <c r="V165" s="108"/>
      <c r="X165" s="75">
        <f ca="1">IFERROR(IF(AND(MAX($A$114:X164)&gt;X164+1, MAX($A$114:X164)&gt;20),0,IF(AND(AA165="",AD165=""),0,IF(OR(AA165&gt;LimitSignB10, AD165&gt;LimitSignB11),X164+1,0))),"")</f>
        <v>0</v>
      </c>
    </row>
    <row r="166" spans="1:24" s="14" customFormat="1" ht="15" customHeight="1" x14ac:dyDescent="0.15">
      <c r="A166" s="75">
        <f ca="1">IFERROR(IF(AND(MAX($A$114:A165)&gt;A165+1, MAX($A$114:A165)&gt;20),0,IF(AND(D166="",G166=""),0,IF(OR(D166&gt;LimitSignB10, G166&gt;LimitSignB11),A165+1,0))),"")</f>
        <v>0</v>
      </c>
      <c r="B166" s="76">
        <f ca="1">IFERROR(MyTime(INDEX(INDIRECT("input!"&amp;$B$112&amp;":"&amp;$B$112),FirstRowInput+Integration*COUNT($B$114:B165)) )* $B$110,"")</f>
        <v>3295.0205440000004</v>
      </c>
      <c r="C166" s="77">
        <f ca="1">IFERROR(AVERAGE(INDEX(INDIRECT("input!" &amp; $C$112 &amp; ":" &amp; $C$112),FirstRowInput+Integration*COUNT($B$114:B165)):INDEX(INDIRECT("input!" &amp; $C$112 &amp; ":" &amp; $C$112),FirstRowInput+Integration*COUNT($B$114:B165)+Integration-1))*$C$110,"")</f>
        <v>16297.181784525657</v>
      </c>
      <c r="D166" s="77">
        <f ca="1">IFERROR(AVERAGE(INDEX(INDIRECT("input!" &amp; $D$112 &amp; ":" &amp; $D$112),FirstRowInput+Integration*COUNT($B$114:B165)):INDEX(INDIRECT("input!" &amp; $D$112 &amp; ":" &amp; $D$112),FirstRowInput+Integration*COUNT($B$114:B165)+Integration-1))*$D$110,"")</f>
        <v>36019.8953421689</v>
      </c>
      <c r="E166" s="77">
        <f ca="1">IFERROR(AVERAGE(INDEX(INDIRECT("input!" &amp; $E$112 &amp; ":" &amp; $E$112),FirstRowInput+Integration*COUNT($B$114:B165)):INDEX(INDIRECT("input!" &amp; $E$112 &amp; ":" &amp; $E$112),FirstRowInput+Integration*COUNT($B$114:B165)+Integration-1))*$E$110,"")</f>
        <v>20659.896909401508</v>
      </c>
      <c r="F166" s="77">
        <f ca="1">IFERROR(AVERAGE(INDEX(INDIRECT("input!" &amp; $F$112 &amp; ":" &amp; $F$112),FirstRowInput+Integration*COUNT($B$114:B165)):INDEX(INDIRECT("input!" &amp; $F$112 &amp; ":" &amp; $F$112),FirstRowInput+Integration*COUNT($B$114:B165)+Integration-1))*$F$110,"")</f>
        <v>1608.1027857996942</v>
      </c>
      <c r="G166" s="77">
        <f ca="1">IFERROR(AVERAGE(INDEX(INDIRECT("input!" &amp; $G$112 &amp; ":" &amp; $G$112),FirstRowInput+Integration*COUNT($B$114:B165)):INDEX(INDIRECT("input!" &amp; $G$112 &amp; ":" &amp; $G$112),FirstRowInput+Integration*COUNT($B$114:B165)+Integration-1))*$G$110,"")</f>
        <v>65422.098047123996</v>
      </c>
      <c r="H166" s="77">
        <f ca="1">IFERROR(AVERAGE(INDEX(INDIRECT("input!" &amp; $H$112 &amp; ":" &amp; $H$112),FirstRowInput+Integration*COUNT($B$114:B165)):INDEX(INDIRECT("input!" &amp; $H$112 &amp; ":" &amp; $H$112),FirstRowInput+Integration*COUNT($B$114:B165)+Integration-1))*$H$110,"")</f>
        <v>5924.8596866883836</v>
      </c>
      <c r="I166" s="42">
        <v>54</v>
      </c>
      <c r="J166" s="74">
        <f t="shared" ca="1" si="139"/>
        <v>54</v>
      </c>
      <c r="K166" s="183">
        <f t="shared" ca="1" si="148"/>
        <v>1</v>
      </c>
      <c r="L166" s="183">
        <f t="shared" ca="1" si="149"/>
        <v>16297.181784525657</v>
      </c>
      <c r="M166" s="183">
        <f t="shared" ca="1" si="150"/>
        <v>36019.8953421689</v>
      </c>
      <c r="N166" s="183">
        <f t="shared" ca="1" si="151"/>
        <v>20659.896909401508</v>
      </c>
      <c r="O166" s="183">
        <f t="shared" ca="1" si="143"/>
        <v>20659.896909401508</v>
      </c>
      <c r="P166" s="183">
        <f t="shared" ca="1" si="152"/>
        <v>65422.098047123996</v>
      </c>
      <c r="Q166" s="183">
        <f t="shared" ca="1" si="140"/>
        <v>1608.1027857996942</v>
      </c>
      <c r="R166" s="183">
        <f t="shared" ca="1" si="145"/>
        <v>5924.8596866883836</v>
      </c>
      <c r="S166" s="81"/>
      <c r="U166" s="108"/>
      <c r="V166" s="108"/>
      <c r="X166" s="75">
        <f ca="1">IFERROR(IF(AND(MAX($A$114:X165)&gt;X165+1, MAX($A$114:X165)&gt;20),0,IF(AND(AA166="",AD166=""),0,IF(OR(AA166&gt;LimitSignB10, AD166&gt;LimitSignB11),X165+1,0))),"")</f>
        <v>0</v>
      </c>
    </row>
    <row r="167" spans="1:24" s="14" customFormat="1" ht="15" customHeight="1" x14ac:dyDescent="0.15">
      <c r="A167" s="75">
        <f ca="1">IFERROR(IF(AND(MAX($A$114:A166)&gt;A166+1, MAX($A$114:A166)&gt;20),0,IF(AND(D167="",G167=""),0,IF(OR(D167&gt;LimitSignB10, G167&gt;LimitSignB11),A166+1,0))),"")</f>
        <v>0</v>
      </c>
      <c r="B167" s="76">
        <f ca="1">IFERROR(MyTime(INDEX(INDIRECT("input!"&amp;$B$112&amp;":"&amp;$B$112),FirstRowInput+Integration*COUNT($B$114:B166)) )* $B$110,"")</f>
        <v>3295.0886400000004</v>
      </c>
      <c r="C167" s="77">
        <f ca="1">IFERROR(AVERAGE(INDEX(INDIRECT("input!" &amp; $C$112 &amp; ":" &amp; $C$112),FirstRowInput+Integration*COUNT($B$114:B166)):INDEX(INDIRECT("input!" &amp; $C$112 &amp; ":" &amp; $C$112),FirstRowInput+Integration*COUNT($B$114:B166)+Integration-1))*$C$110,"")</f>
        <v>20598.689778104006</v>
      </c>
      <c r="D167" s="77">
        <f ca="1">IFERROR(AVERAGE(INDEX(INDIRECT("input!" &amp; $D$112 &amp; ":" &amp; $D$112),FirstRowInput+Integration*COUNT($B$114:B166)):INDEX(INDIRECT("input!" &amp; $D$112 &amp; ":" &amp; $D$112),FirstRowInput+Integration*COUNT($B$114:B166)+Integration-1))*$D$110,"")</f>
        <v>32944.76930285299</v>
      </c>
      <c r="E167" s="77">
        <f ca="1">IFERROR(AVERAGE(INDEX(INDIRECT("input!" &amp; $E$112 &amp; ":" &amp; $E$112),FirstRowInput+Integration*COUNT($B$114:B166)):INDEX(INDIRECT("input!" &amp; $E$112 &amp; ":" &amp; $E$112),FirstRowInput+Integration*COUNT($B$114:B166)+Integration-1))*$E$110,"")</f>
        <v>19481.781288985145</v>
      </c>
      <c r="F167" s="77">
        <f ca="1">IFERROR(AVERAGE(INDEX(INDIRECT("input!" &amp; $F$112 &amp; ":" &amp; $F$112),FirstRowInput+Integration*COUNT($B$114:B166)):INDEX(INDIRECT("input!" &amp; $F$112 &amp; ":" &amp; $F$112),FirstRowInput+Integration*COUNT($B$114:B166)+Integration-1))*$F$110,"")</f>
        <v>3610.6606932527666</v>
      </c>
      <c r="G167" s="77">
        <f ca="1">IFERROR(AVERAGE(INDEX(INDIRECT("input!" &amp; $G$112 &amp; ":" &amp; $G$112),FirstRowInput+Integration*COUNT($B$114:B166)):INDEX(INDIRECT("input!" &amp; $G$112 &amp; ":" &amp; $G$112),FirstRowInput+Integration*COUNT($B$114:B166)+Integration-1))*$G$110,"")</f>
        <v>71501.049004146524</v>
      </c>
      <c r="H167" s="77">
        <f ca="1">IFERROR(AVERAGE(INDEX(INDIRECT("input!" &amp; $H$112 &amp; ":" &amp; $H$112),FirstRowInput+Integration*COUNT($B$114:B166)):INDEX(INDIRECT("input!" &amp; $H$112 &amp; ":" &amp; $H$112),FirstRowInput+Integration*COUNT($B$114:B166)+Integration-1))*$H$110,"")</f>
        <v>470.84965739382977</v>
      </c>
      <c r="I167" s="42">
        <v>55</v>
      </c>
      <c r="J167" s="74">
        <f t="shared" ca="1" si="139"/>
        <v>55</v>
      </c>
      <c r="K167" s="183">
        <f t="shared" ca="1" si="148"/>
        <v>1</v>
      </c>
      <c r="L167" s="183">
        <f t="shared" ca="1" si="149"/>
        <v>20598.689778104006</v>
      </c>
      <c r="M167" s="183">
        <f t="shared" ca="1" si="150"/>
        <v>32944.76930285299</v>
      </c>
      <c r="N167" s="183">
        <f t="shared" ca="1" si="151"/>
        <v>19481.781288985145</v>
      </c>
      <c r="O167" s="183">
        <f t="shared" ca="1" si="143"/>
        <v>19481.781288985145</v>
      </c>
      <c r="P167" s="183">
        <f t="shared" ca="1" si="152"/>
        <v>71501.049004146524</v>
      </c>
      <c r="Q167" s="183">
        <f t="shared" ca="1" si="140"/>
        <v>3610.6606932527666</v>
      </c>
      <c r="R167" s="183">
        <f t="shared" ca="1" si="145"/>
        <v>470.84965739382977</v>
      </c>
      <c r="S167" s="81"/>
      <c r="U167" s="108"/>
      <c r="V167" s="108"/>
      <c r="X167" s="75">
        <f ca="1">IFERROR(IF(AND(MAX($A$114:X166)&gt;X166+1, MAX($A$114:X166)&gt;20),0,IF(AND(AA167="",AD167=""),0,IF(OR(AA167&gt;LimitSignB10, AD167&gt;LimitSignB11),X166+1,0))),"")</f>
        <v>0</v>
      </c>
    </row>
    <row r="168" spans="1:24" s="14" customFormat="1" ht="15" customHeight="1" x14ac:dyDescent="0.15">
      <c r="A168" s="75">
        <f ca="1">IFERROR(IF(AND(MAX($A$114:A167)&gt;A167+1, MAX($A$114:A167)&gt;20),0,IF(AND(D168="",G168=""),0,IF(OR(D168&gt;LimitSignB10, G168&gt;LimitSignB11),A167+1,0))),"")</f>
        <v>0</v>
      </c>
      <c r="B168" s="76">
        <f ca="1">IFERROR(MyTime(INDEX(INDIRECT("input!"&amp;$B$112&amp;":"&amp;$B$112),FirstRowInput+Integration*COUNT($B$114:B167)) )* $B$110,"")</f>
        <v>3295.1569920000002</v>
      </c>
      <c r="C168" s="77">
        <f ca="1">IFERROR(AVERAGE(INDEX(INDIRECT("input!" &amp; $C$112 &amp; ":" &amp; $C$112),FirstRowInput+Integration*COUNT($B$114:B167)):INDEX(INDIRECT("input!" &amp; $C$112 &amp; ":" &amp; $C$112),FirstRowInput+Integration*COUNT($B$114:B167)+Integration-1))*$C$110,"")</f>
        <v>21553.257242550259</v>
      </c>
      <c r="D168" s="77">
        <f ca="1">IFERROR(AVERAGE(INDEX(INDIRECT("input!" &amp; $D$112 &amp; ":" &amp; $D$112),FirstRowInput+Integration*COUNT($B$114:B167)):INDEX(INDIRECT("input!" &amp; $D$112 &amp; ":" &amp; $D$112),FirstRowInput+Integration*COUNT($B$114:B167)+Integration-1))*$D$110,"")</f>
        <v>29546.513922036636</v>
      </c>
      <c r="E168" s="77">
        <f ca="1">IFERROR(AVERAGE(INDEX(INDIRECT("input!" &amp; $E$112 &amp; ":" &amp; $E$112),FirstRowInput+Integration*COUNT($B$114:B167)):INDEX(INDIRECT("input!" &amp; $E$112 &amp; ":" &amp; $E$112),FirstRowInput+Integration*COUNT($B$114:B167)+Integration-1))*$E$110,"")</f>
        <v>17125.7851040235</v>
      </c>
      <c r="F168" s="77">
        <f ca="1">IFERROR(AVERAGE(INDEX(INDIRECT("input!" &amp; $F$112 &amp; ":" &amp; $F$112),FirstRowInput+Integration*COUNT($B$114:B167)):INDEX(INDIRECT("input!" &amp; $F$112 &amp; ":" &amp; $F$112),FirstRowInput+Integration*COUNT($B$114:B167)+Integration-1))*$F$110,"")</f>
        <v>7958.9457991669387</v>
      </c>
      <c r="G168" s="77">
        <f ca="1">IFERROR(AVERAGE(INDEX(INDIRECT("input!" &amp; $G$112 &amp; ":" &amp; $G$112),FirstRowInput+Integration*COUNT($B$114:B167)):INDEX(INDIRECT("input!" &amp; $G$112 &amp; ":" &amp; $G$112),FirstRowInput+Integration*COUNT($B$114:B167)+Integration-1))*$G$110,"")</f>
        <v>71061.020062800148</v>
      </c>
      <c r="H168" s="77">
        <f ca="1">IFERROR(AVERAGE(INDEX(INDIRECT("input!" &amp; $H$112 &amp; ":" &amp; $H$112),FirstRowInput+Integration*COUNT($B$114:B167)):INDEX(INDIRECT("input!" &amp; $H$112 &amp; ":" &amp; $H$112),FirstRowInput+Integration*COUNT($B$114:B167)+Integration-1))*$H$110,"")</f>
        <v>11924.489304659319</v>
      </c>
      <c r="I168" s="42">
        <v>56</v>
      </c>
      <c r="J168" s="74">
        <f t="shared" ca="1" si="139"/>
        <v>56</v>
      </c>
      <c r="K168" s="183">
        <f t="shared" ca="1" si="148"/>
        <v>1</v>
      </c>
      <c r="L168" s="183">
        <f t="shared" ca="1" si="149"/>
        <v>21553.257242550259</v>
      </c>
      <c r="M168" s="183">
        <f t="shared" ca="1" si="150"/>
        <v>29546.513922036636</v>
      </c>
      <c r="N168" s="183">
        <f t="shared" ca="1" si="151"/>
        <v>17125.7851040235</v>
      </c>
      <c r="O168" s="183">
        <f t="shared" ca="1" si="143"/>
        <v>17125.7851040235</v>
      </c>
      <c r="P168" s="183">
        <f t="shared" ca="1" si="152"/>
        <v>71061.020062800148</v>
      </c>
      <c r="Q168" s="183">
        <f t="shared" ca="1" si="140"/>
        <v>7958.9457991669387</v>
      </c>
      <c r="R168" s="183">
        <f t="shared" ca="1" si="145"/>
        <v>11924.489304659319</v>
      </c>
      <c r="S168" s="81"/>
      <c r="U168" s="108"/>
      <c r="V168" s="108"/>
      <c r="X168" s="75">
        <f ca="1">IFERROR(IF(AND(MAX($A$114:X167)&gt;X167+1, MAX($A$114:X167)&gt;20),0,IF(AND(AA168="",AD168=""),0,IF(OR(AA168&gt;LimitSignB10, AD168&gt;LimitSignB11),X167+1,0))),"")</f>
        <v>0</v>
      </c>
    </row>
    <row r="169" spans="1:24" s="14" customFormat="1" ht="15" customHeight="1" x14ac:dyDescent="0.15">
      <c r="A169" s="75">
        <f ca="1">IFERROR(IF(AND(MAX($A$114:A168)&gt;A168+1, MAX($A$114:A168)&gt;20),0,IF(AND(D169="",G169=""),0,IF(OR(D169&gt;LimitSignB10, G169&gt;LimitSignB11),A168+1,0))),"")</f>
        <v>0</v>
      </c>
      <c r="B169" s="76">
        <f ca="1">IFERROR(MyTime(INDEX(INDIRECT("input!"&amp;$B$112&amp;":"&amp;$B$112),FirstRowInput+Integration*COUNT($B$114:B168)) )* $B$110,"")</f>
        <v>3295.2250880000001</v>
      </c>
      <c r="C169" s="77">
        <f ca="1">IFERROR(AVERAGE(INDEX(INDIRECT("input!" &amp; $C$112 &amp; ":" &amp; $C$112),FirstRowInput+Integration*COUNT($B$114:B168)):INDEX(INDIRECT("input!" &amp; $C$112 &amp; ":" &amp; $C$112),FirstRowInput+Integration*COUNT($B$114:B168)+Integration-1))*$C$110,"")</f>
        <v>17521.968680346439</v>
      </c>
      <c r="D169" s="77">
        <f ca="1">IFERROR(AVERAGE(INDEX(INDIRECT("input!" &amp; $D$112 &amp; ":" &amp; $D$112),FirstRowInput+Integration*COUNT($B$114:B168)):INDEX(INDIRECT("input!" &amp; $D$112 &amp; ":" &amp; $D$112),FirstRowInput+Integration*COUNT($B$114:B168)+Integration-1))*$D$110,"")</f>
        <v>30150.029974076191</v>
      </c>
      <c r="E169" s="77">
        <f ca="1">IFERROR(AVERAGE(INDEX(INDIRECT("input!" &amp; $E$112 &amp; ":" &amp; $E$112),FirstRowInput+Integration*COUNT($B$114:B168)):INDEX(INDIRECT("input!" &amp; $E$112 &amp; ":" &amp; $E$112),FirstRowInput+Integration*COUNT($B$114:B168)+Integration-1))*$E$110,"")</f>
        <v>17227.992372449728</v>
      </c>
      <c r="F169" s="77">
        <f ca="1">IFERROR(AVERAGE(INDEX(INDIRECT("input!" &amp; $F$112 &amp; ":" &amp; $F$112),FirstRowInput+Integration*COUNT($B$114:B168)):INDEX(INDIRECT("input!" &amp; $F$112 &amp; ":" &amp; $F$112),FirstRowInput+Integration*COUNT($B$114:B168)+Integration-1))*$F$110,"")</f>
        <v>10616.375041870853</v>
      </c>
      <c r="G169" s="77">
        <f ca="1">IFERROR(AVERAGE(INDEX(INDIRECT("input!" &amp; $G$112 &amp; ":" &amp; $G$112),FirstRowInput+Integration*COUNT($B$114:B168)):INDEX(INDIRECT("input!" &amp; $G$112 &amp; ":" &amp; $G$112),FirstRowInput+Integration*COUNT($B$114:B168)+Integration-1))*$G$110,"")</f>
        <v>67504.868520226169</v>
      </c>
      <c r="H169" s="77">
        <f ca="1">IFERROR(AVERAGE(INDEX(INDIRECT("input!" &amp; $H$112 &amp; ":" &amp; $H$112),FirstRowInput+Integration*COUNT($B$114:B168)):INDEX(INDIRECT("input!" &amp; $H$112 &amp; ":" &amp; $H$112),FirstRowInput+Integration*COUNT($B$114:B168)+Integration-1))*$H$110,"")</f>
        <v>10044.323477113412</v>
      </c>
      <c r="I169" s="42">
        <v>57</v>
      </c>
      <c r="J169" s="74">
        <f t="shared" ca="1" si="139"/>
        <v>57</v>
      </c>
      <c r="K169" s="183">
        <f t="shared" ca="1" si="148"/>
        <v>1</v>
      </c>
      <c r="L169" s="183">
        <f t="shared" ca="1" si="149"/>
        <v>17521.968680346439</v>
      </c>
      <c r="M169" s="183">
        <f t="shared" ca="1" si="150"/>
        <v>30150.029974076191</v>
      </c>
      <c r="N169" s="183">
        <f t="shared" ca="1" si="151"/>
        <v>17227.992372449728</v>
      </c>
      <c r="O169" s="183">
        <f t="shared" ca="1" si="143"/>
        <v>17227.992372449728</v>
      </c>
      <c r="P169" s="183">
        <f t="shared" ca="1" si="152"/>
        <v>67504.868520226169</v>
      </c>
      <c r="Q169" s="183">
        <f t="shared" ca="1" si="140"/>
        <v>10616.375041870853</v>
      </c>
      <c r="R169" s="183">
        <f t="shared" ca="1" si="145"/>
        <v>10044.323477113412</v>
      </c>
      <c r="S169" s="81"/>
      <c r="U169" s="108"/>
      <c r="V169" s="108"/>
      <c r="X169" s="75">
        <f ca="1">IFERROR(IF(AND(MAX($A$114:X168)&gt;X168+1, MAX($A$114:X168)&gt;20),0,IF(AND(AA169="",AD169=""),0,IF(OR(AA169&gt;LimitSignB10, AD169&gt;LimitSignB11),X168+1,0))),"")</f>
        <v>0</v>
      </c>
    </row>
    <row r="170" spans="1:24" s="14" customFormat="1" ht="15" customHeight="1" x14ac:dyDescent="0.15">
      <c r="A170" s="75">
        <f ca="1">IFERROR(IF(AND(MAX($A$114:A169)&gt;A169+1, MAX($A$114:A169)&gt;20),0,IF(AND(D170="",G170=""),0,IF(OR(D170&gt;LimitSignB10, G170&gt;LimitSignB11),A169+1,0))),"")</f>
        <v>0</v>
      </c>
      <c r="B170" s="76">
        <f ca="1">IFERROR(MyTime(INDEX(INDIRECT("input!"&amp;$B$112&amp;":"&amp;$B$112),FirstRowInput+Integration*COUNT($B$114:B169)) )* $B$110,"")</f>
        <v>3295.2931840000001</v>
      </c>
      <c r="C170" s="77">
        <f ca="1">IFERROR(AVERAGE(INDEX(INDIRECT("input!" &amp; $C$112 &amp; ":" &amp; $C$112),FirstRowInput+Integration*COUNT($B$114:B169)):INDEX(INDIRECT("input!" &amp; $C$112 &amp; ":" &amp; $C$112),FirstRowInput+Integration*COUNT($B$114:B169)+Integration-1))*$C$110,"")</f>
        <v>19537.494670396187</v>
      </c>
      <c r="D170" s="77">
        <f ca="1">IFERROR(AVERAGE(INDEX(INDIRECT("input!" &amp; $D$112 &amp; ":" &amp; $D$112),FirstRowInput+Integration*COUNT($B$114:B169)):INDEX(INDIRECT("input!" &amp; $D$112 &amp; ":" &amp; $D$112),FirstRowInput+Integration*COUNT($B$114:B169)+Integration-1))*$D$110,"")</f>
        <v>34869.561748944623</v>
      </c>
      <c r="E170" s="77">
        <f ca="1">IFERROR(AVERAGE(INDEX(INDIRECT("input!" &amp; $E$112 &amp; ":" &amp; $E$112),FirstRowInput+Integration*COUNT($B$114:B169)):INDEX(INDIRECT("input!" &amp; $E$112 &amp; ":" &amp; $E$112),FirstRowInput+Integration*COUNT($B$114:B169)+Integration-1))*$E$110,"")</f>
        <v>17496.447365154949</v>
      </c>
      <c r="F170" s="77">
        <f ca="1">IFERROR(AVERAGE(INDEX(INDIRECT("input!" &amp; $F$112 &amp; ":" &amp; $F$112),FirstRowInput+Integration*COUNT($B$114:B169)):INDEX(INDIRECT("input!" &amp; $F$112 &amp; ":" &amp; $F$112),FirstRowInput+Integration*COUNT($B$114:B169)+Integration-1))*$F$110,"")</f>
        <v>11353.232638216497</v>
      </c>
      <c r="G170" s="77">
        <f ca="1">IFERROR(AVERAGE(INDEX(INDIRECT("input!" &amp; $G$112 &amp; ":" &amp; $G$112),FirstRowInput+Integration*COUNT($B$114:B169)):INDEX(INDIRECT("input!" &amp; $G$112 &amp; ":" &amp; $G$112),FirstRowInput+Integration*COUNT($B$114:B169)+Integration-1))*$G$110,"")</f>
        <v>72523.360914369448</v>
      </c>
      <c r="H170" s="77">
        <f ca="1">IFERROR(AVERAGE(INDEX(INDIRECT("input!" &amp; $H$112 &amp; ":" &amp; $H$112),FirstRowInput+Integration*COUNT($B$114:B169)):INDEX(INDIRECT("input!" &amp; $H$112 &amp; ":" &amp; $H$112),FirstRowInput+Integration*COUNT($B$114:B169)+Integration-1))*$H$110,"")</f>
        <v>23227.0474636736</v>
      </c>
      <c r="I170" s="42">
        <v>58</v>
      </c>
      <c r="J170" s="74">
        <f t="shared" ca="1" si="139"/>
        <v>58</v>
      </c>
      <c r="K170" s="183">
        <f t="shared" ca="1" si="148"/>
        <v>1</v>
      </c>
      <c r="L170" s="183">
        <f t="shared" ca="1" si="149"/>
        <v>19537.494670396187</v>
      </c>
      <c r="M170" s="183">
        <f t="shared" ca="1" si="150"/>
        <v>34869.561748944623</v>
      </c>
      <c r="N170" s="183">
        <f t="shared" ca="1" si="151"/>
        <v>17496.447365154949</v>
      </c>
      <c r="O170" s="183">
        <f t="shared" ca="1" si="143"/>
        <v>17496.447365154949</v>
      </c>
      <c r="P170" s="183">
        <f t="shared" ca="1" si="152"/>
        <v>72523.360914369448</v>
      </c>
      <c r="Q170" s="183">
        <f t="shared" ca="1" si="140"/>
        <v>11353.232638216497</v>
      </c>
      <c r="R170" s="183">
        <f t="shared" ca="1" si="145"/>
        <v>23227.0474636736</v>
      </c>
      <c r="S170" s="81"/>
      <c r="U170" s="108"/>
      <c r="V170" s="108"/>
      <c r="X170" s="75">
        <f ca="1">IFERROR(IF(AND(MAX($A$114:X169)&gt;X169+1, MAX($A$114:X169)&gt;20),0,IF(AND(AA170="",AD170=""),0,IF(OR(AA170&gt;LimitSignB10, AD170&gt;LimitSignB11),X169+1,0))),"")</f>
        <v>0</v>
      </c>
    </row>
    <row r="171" spans="1:24" s="14" customFormat="1" ht="15" customHeight="1" x14ac:dyDescent="0.15">
      <c r="A171" s="75">
        <f ca="1">IFERROR(IF(AND(MAX($A$114:A170)&gt;A170+1, MAX($A$114:A170)&gt;20),0,IF(AND(D171="",G171=""),0,IF(OR(D171&gt;LimitSignB10, G171&gt;LimitSignB11),A170+1,0))),"")</f>
        <v>0</v>
      </c>
      <c r="B171" s="76">
        <f ca="1">IFERROR(MyTime(INDEX(INDIRECT("input!"&amp;$B$112&amp;":"&amp;$B$112),FirstRowInput+Integration*COUNT($B$114:B170)) )* $B$110,"")</f>
        <v>3295.3612800000001</v>
      </c>
      <c r="C171" s="77">
        <f ca="1">IFERROR(AVERAGE(INDEX(INDIRECT("input!" &amp; $C$112 &amp; ":" &amp; $C$112),FirstRowInput+Integration*COUNT($B$114:B170)):INDEX(INDIRECT("input!" &amp; $C$112 &amp; ":" &amp; $C$112),FirstRowInput+Integration*COUNT($B$114:B170)+Integration-1))*$C$110,"")</f>
        <v>20689.737222822409</v>
      </c>
      <c r="D171" s="77">
        <f ca="1">IFERROR(AVERAGE(INDEX(INDIRECT("input!" &amp; $D$112 &amp; ":" &amp; $D$112),FirstRowInput+Integration*COUNT($B$114:B170)):INDEX(INDIRECT("input!" &amp; $D$112 &amp; ":" &amp; $D$112),FirstRowInput+Integration*COUNT($B$114:B170)+Integration-1))*$D$110,"")</f>
        <v>33059.146748418025</v>
      </c>
      <c r="E171" s="77">
        <f ca="1">IFERROR(AVERAGE(INDEX(INDIRECT("input!" &amp; $E$112 &amp; ":" &amp; $E$112),FirstRowInput+Integration*COUNT($B$114:B170)):INDEX(INDIRECT("input!" &amp; $E$112 &amp; ":" &amp; $E$112),FirstRowInput+Integration*COUNT($B$114:B170)+Integration-1))*$E$110,"")</f>
        <v>19227.088588952713</v>
      </c>
      <c r="F171" s="77">
        <f ca="1">IFERROR(AVERAGE(INDEX(INDIRECT("input!" &amp; $F$112 &amp; ":" &amp; $F$112),FirstRowInput+Integration*COUNT($B$114:B170)):INDEX(INDIRECT("input!" &amp; $F$112 &amp; ":" &amp; $F$112),FirstRowInput+Integration*COUNT($B$114:B170)+Integration-1))*$F$110,"")</f>
        <v>8632.8433258446912</v>
      </c>
      <c r="G171" s="77">
        <f ca="1">IFERROR(AVERAGE(INDEX(INDIRECT("input!" &amp; $G$112 &amp; ":" &amp; $G$112),FirstRowInput+Integration*COUNT($B$114:B170)):INDEX(INDIRECT("input!" &amp; $G$112 &amp; ":" &amp; $G$112),FirstRowInput+Integration*COUNT($B$114:B170)+Integration-1))*$G$110,"")</f>
        <v>70848.884340916658</v>
      </c>
      <c r="H171" s="77">
        <f ca="1">IFERROR(AVERAGE(INDEX(INDIRECT("input!" &amp; $H$112 &amp; ":" &amp; $H$112),FirstRowInput+Integration*COUNT($B$114:B170)):INDEX(INDIRECT("input!" &amp; $H$112 &amp; ":" &amp; $H$112),FirstRowInput+Integration*COUNT($B$114:B170)+Integration-1))*$H$110,"")</f>
        <v>19892.882895802115</v>
      </c>
      <c r="I171" s="42">
        <v>59</v>
      </c>
      <c r="J171" s="74">
        <f t="shared" ca="1" si="139"/>
        <v>59</v>
      </c>
      <c r="K171" s="183">
        <f t="shared" ca="1" si="148"/>
        <v>1</v>
      </c>
      <c r="L171" s="183">
        <f t="shared" ca="1" si="149"/>
        <v>20689.737222822409</v>
      </c>
      <c r="M171" s="183">
        <f t="shared" ca="1" si="150"/>
        <v>33059.146748418025</v>
      </c>
      <c r="N171" s="183">
        <f t="shared" ca="1" si="151"/>
        <v>19227.088588952713</v>
      </c>
      <c r="O171" s="183">
        <f t="shared" ca="1" si="143"/>
        <v>19227.088588952713</v>
      </c>
      <c r="P171" s="183">
        <f t="shared" ca="1" si="152"/>
        <v>70848.884340916658</v>
      </c>
      <c r="Q171" s="183">
        <f t="shared" ca="1" si="140"/>
        <v>8632.8433258446912</v>
      </c>
      <c r="R171" s="183">
        <f t="shared" ca="1" si="145"/>
        <v>19892.882895802115</v>
      </c>
      <c r="S171" s="81"/>
      <c r="U171" s="108"/>
      <c r="V171" s="108"/>
      <c r="X171" s="75">
        <f ca="1">IFERROR(IF(AND(MAX($A$114:X170)&gt;X170+1, MAX($A$114:X170)&gt;20),0,IF(AND(AA171="",AD171=""),0,IF(OR(AA171&gt;LimitSignB10, AD171&gt;LimitSignB11),X170+1,0))),"")</f>
        <v>0</v>
      </c>
    </row>
    <row r="172" spans="1:24" s="14" customFormat="1" ht="15" customHeight="1" x14ac:dyDescent="0.15">
      <c r="A172" s="75">
        <f ca="1">IFERROR(IF(AND(MAX($A$114:A171)&gt;A171+1, MAX($A$114:A171)&gt;20),0,IF(AND(D172="",G172=""),0,IF(OR(D172&gt;LimitSignB10, G172&gt;LimitSignB11),A171+1,0))),"")</f>
        <v>0</v>
      </c>
      <c r="B172" s="76">
        <f ca="1">IFERROR(MyTime(INDEX(INDIRECT("input!"&amp;$B$112&amp;":"&amp;$B$112),FirstRowInput+Integration*COUNT($B$114:B171)) )* $B$110,"")</f>
        <v>3295.428864</v>
      </c>
      <c r="C172" s="77">
        <f ca="1">IFERROR(AVERAGE(INDEX(INDIRECT("input!" &amp; $C$112 &amp; ":" &amp; $C$112),FirstRowInput+Integration*COUNT($B$114:B171)):INDEX(INDIRECT("input!" &amp; $C$112 &amp; ":" &amp; $C$112),FirstRowInput+Integration*COUNT($B$114:B171)+Integration-1))*$C$110,"")</f>
        <v>23458.794499515836</v>
      </c>
      <c r="D172" s="77">
        <f ca="1">IFERROR(AVERAGE(INDEX(INDIRECT("input!" &amp; $D$112 &amp; ":" &amp; $D$112),FirstRowInput+Integration*COUNT($B$114:B171)):INDEX(INDIRECT("input!" &amp; $D$112 &amp; ":" &amp; $D$112),FirstRowInput+Integration*COUNT($B$114:B171)+Integration-1))*$D$110,"")</f>
        <v>34234.771322653512</v>
      </c>
      <c r="E172" s="77">
        <f ca="1">IFERROR(AVERAGE(INDEX(INDIRECT("input!" &amp; $E$112 &amp; ":" &amp; $E$112),FirstRowInput+Integration*COUNT($B$114:B171)):INDEX(INDIRECT("input!" &amp; $E$112 &amp; ":" &amp; $E$112),FirstRowInput+Integration*COUNT($B$114:B171)+Integration-1))*$E$110,"")</f>
        <v>17310.198454694058</v>
      </c>
      <c r="F172" s="77">
        <f ca="1">IFERROR(AVERAGE(INDEX(INDIRECT("input!" &amp; $F$112 &amp; ":" &amp; $F$112),FirstRowInput+Integration*COUNT($B$114:B171)):INDEX(INDIRECT("input!" &amp; $F$112 &amp; ":" &amp; $F$112),FirstRowInput+Integration*COUNT($B$114:B171)+Integration-1))*$F$110,"")</f>
        <v>10294.416390965678</v>
      </c>
      <c r="G172" s="77">
        <f ca="1">IFERROR(AVERAGE(INDEX(INDIRECT("input!" &amp; $G$112 &amp; ":" &amp; $G$112),FirstRowInput+Integration*COUNT($B$114:B171)):INDEX(INDIRECT("input!" &amp; $G$112 &amp; ":" &amp; $G$112),FirstRowInput+Integration*COUNT($B$114:B171)+Integration-1))*$G$110,"")</f>
        <v>69267.118555591631</v>
      </c>
      <c r="H172" s="77">
        <f ca="1">IFERROR(AVERAGE(INDEX(INDIRECT("input!" &amp; $H$112 &amp; ":" &amp; $H$112),FirstRowInput+Integration*COUNT($B$114:B171)):INDEX(INDIRECT("input!" &amp; $H$112 &amp; ":" &amp; $H$112),FirstRowInput+Integration*COUNT($B$114:B171)+Integration-1))*$H$110,"")</f>
        <v>12360.245732038089</v>
      </c>
      <c r="I172" s="42">
        <v>60</v>
      </c>
      <c r="J172" s="74">
        <f t="shared" ca="1" si="139"/>
        <v>60</v>
      </c>
      <c r="K172" s="183">
        <f t="shared" ca="1" si="148"/>
        <v>1</v>
      </c>
      <c r="L172" s="183">
        <f t="shared" ca="1" si="149"/>
        <v>23458.794499515836</v>
      </c>
      <c r="M172" s="183">
        <f t="shared" ca="1" si="150"/>
        <v>34234.771322653512</v>
      </c>
      <c r="N172" s="183">
        <f t="shared" ca="1" si="151"/>
        <v>17310.198454694058</v>
      </c>
      <c r="O172" s="183">
        <f t="shared" ca="1" si="143"/>
        <v>17310.198454694058</v>
      </c>
      <c r="P172" s="183">
        <f t="shared" ca="1" si="152"/>
        <v>69267.118555591631</v>
      </c>
      <c r="Q172" s="183">
        <f t="shared" ca="1" si="140"/>
        <v>10294.416390965678</v>
      </c>
      <c r="R172" s="183">
        <f t="shared" ca="1" si="145"/>
        <v>12360.245732038089</v>
      </c>
      <c r="S172" s="81"/>
      <c r="U172" s="108"/>
      <c r="V172" s="108"/>
      <c r="X172" s="75">
        <f ca="1">IFERROR(IF(AND(MAX($A$114:X171)&gt;X171+1, MAX($A$114:X171)&gt;20),0,IF(AND(AA172="",AD172=""),0,IF(OR(AA172&gt;LimitSignB10, AD172&gt;LimitSignB11),X171+1,0))),"")</f>
        <v>0</v>
      </c>
    </row>
    <row r="173" spans="1:24" s="14" customFormat="1" ht="15" customHeight="1" x14ac:dyDescent="0.15">
      <c r="A173" s="75">
        <f ca="1">IFERROR(IF(AND(MAX($A$114:A172)&gt;A172+1, MAX($A$114:A172)&gt;20),0,IF(AND(D173="",G173=""),0,IF(OR(D173&gt;LimitSignB10, G173&gt;LimitSignB11),A172+1,0))),"")</f>
        <v>0</v>
      </c>
      <c r="B173" s="76">
        <f ca="1">IFERROR(MyTime(INDEX(INDIRECT("input!"&amp;$B$112&amp;":"&amp;$B$112),FirstRowInput+Integration*COUNT($B$114:B172)) )* $B$110,"")</f>
        <v>3295.4972160000002</v>
      </c>
      <c r="C173" s="77">
        <f ca="1">IFERROR(AVERAGE(INDEX(INDIRECT("input!" &amp; $C$112 &amp; ":" &amp; $C$112),FirstRowInput+Integration*COUNT($B$114:B172)):INDEX(INDIRECT("input!" &amp; $C$112 &amp; ":" &amp; $C$112),FirstRowInput+Integration*COUNT($B$114:B172)+Integration-1))*$C$110,"")</f>
        <v>19014.14033623971</v>
      </c>
      <c r="D173" s="77">
        <f ca="1">IFERROR(AVERAGE(INDEX(INDIRECT("input!" &amp; $D$112 &amp; ":" &amp; $D$112),FirstRowInput+Integration*COUNT($B$114:B172)):INDEX(INDIRECT("input!" &amp; $D$112 &amp; ":" &amp; $D$112),FirstRowInput+Integration*COUNT($B$114:B172)+Integration-1))*$D$110,"")</f>
        <v>33093.815042582617</v>
      </c>
      <c r="E173" s="77">
        <f ca="1">IFERROR(AVERAGE(INDEX(INDIRECT("input!" &amp; $E$112 &amp; ":" &amp; $E$112),FirstRowInput+Integration*COUNT($B$114:B172)):INDEX(INDIRECT("input!" &amp; $E$112 &amp; ":" &amp; $E$112),FirstRowInput+Integration*COUNT($B$114:B172)+Integration-1))*$E$110,"")</f>
        <v>16633.281207570271</v>
      </c>
      <c r="F173" s="77">
        <f ca="1">IFERROR(AVERAGE(INDEX(INDIRECT("input!" &amp; $F$112 &amp; ":" &amp; $F$112),FirstRowInput+Integration*COUNT($B$114:B172)):INDEX(INDIRECT("input!" &amp; $F$112 &amp; ":" &amp; $F$112),FirstRowInput+Integration*COUNT($B$114:B172)+Integration-1))*$F$110,"")</f>
        <v>9120.3692934209848</v>
      </c>
      <c r="G173" s="77">
        <f ca="1">IFERROR(AVERAGE(INDEX(INDIRECT("input!" &amp; $G$112 &amp; ":" &amp; $G$112),FirstRowInput+Integration*COUNT($B$114:B172)):INDEX(INDIRECT("input!" &amp; $G$112 &amp; ":" &amp; $G$112),FirstRowInput+Integration*COUNT($B$114:B172)+Integration-1))*$G$110,"")</f>
        <v>70885.943550122058</v>
      </c>
      <c r="H173" s="77">
        <f ca="1">IFERROR(AVERAGE(INDEX(INDIRECT("input!" &amp; $H$112 &amp; ":" &amp; $H$112),FirstRowInput+Integration*COUNT($B$114:B172)):INDEX(INDIRECT("input!" &amp; $H$112 &amp; ":" &amp; $H$112),FirstRowInput+Integration*COUNT($B$114:B172)+Integration-1))*$H$110,"")</f>
        <v>13743.442524524668</v>
      </c>
      <c r="I173" s="42">
        <v>61</v>
      </c>
      <c r="J173" s="74">
        <f t="shared" ca="1" si="139"/>
        <v>61</v>
      </c>
      <c r="K173" s="183">
        <f t="shared" ca="1" si="148"/>
        <v>1</v>
      </c>
      <c r="L173" s="183">
        <f t="shared" ca="1" si="149"/>
        <v>19014.14033623971</v>
      </c>
      <c r="M173" s="183">
        <f t="shared" ca="1" si="150"/>
        <v>33093.815042582617</v>
      </c>
      <c r="N173" s="183">
        <f t="shared" ca="1" si="151"/>
        <v>16633.281207570271</v>
      </c>
      <c r="O173" s="183">
        <f t="shared" ca="1" si="143"/>
        <v>16633.281207570271</v>
      </c>
      <c r="P173" s="183">
        <f t="shared" ca="1" si="152"/>
        <v>70885.943550122058</v>
      </c>
      <c r="Q173" s="183">
        <f t="shared" ca="1" si="140"/>
        <v>9120.3692934209848</v>
      </c>
      <c r="R173" s="183">
        <f t="shared" ca="1" si="145"/>
        <v>13743.442524524668</v>
      </c>
      <c r="S173" s="81"/>
      <c r="U173" s="108"/>
      <c r="V173" s="108"/>
      <c r="X173" s="75">
        <f ca="1">IFERROR(IF(AND(MAX($A$114:X172)&gt;X172+1, MAX($A$114:X172)&gt;20),0,IF(AND(AA173="",AD173=""),0,IF(OR(AA173&gt;LimitSignB10, AD173&gt;LimitSignB11),X172+1,0))),"")</f>
        <v>0</v>
      </c>
    </row>
    <row r="174" spans="1:24" s="14" customFormat="1" ht="15" customHeight="1" x14ac:dyDescent="0.15">
      <c r="A174" s="75">
        <f ca="1">IFERROR(IF(AND(MAX($A$114:A173)&gt;A173+1, MAX($A$114:A173)&gt;20),0,IF(AND(D174="",G174=""),0,IF(OR(D174&gt;LimitSignB10, G174&gt;LimitSignB11),A173+1,0))),"")</f>
        <v>0</v>
      </c>
      <c r="B174" s="76">
        <f ca="1">IFERROR(MyTime(INDEX(INDIRECT("input!"&amp;$B$112&amp;":"&amp;$B$112),FirstRowInput+Integration*COUNT($B$114:B173)) )* $B$110,"")</f>
        <v>3295.5653120000002</v>
      </c>
      <c r="C174" s="77">
        <f ca="1">IFERROR(AVERAGE(INDEX(INDIRECT("input!" &amp; $C$112 &amp; ":" &amp; $C$112),FirstRowInput+Integration*COUNT($B$114:B173)):INDEX(INDIRECT("input!" &amp; $C$112 &amp; ":" &amp; $C$112),FirstRowInput+Integration*COUNT($B$114:B173)+Integration-1))*$C$110,"")</f>
        <v>19531.153255124285</v>
      </c>
      <c r="D174" s="77">
        <f ca="1">IFERROR(AVERAGE(INDEX(INDIRECT("input!" &amp; $D$112 &amp; ":" &amp; $D$112),FirstRowInput+Integration*COUNT($B$114:B173)):INDEX(INDIRECT("input!" &amp; $D$112 &amp; ":" &amp; $D$112),FirstRowInput+Integration*COUNT($B$114:B173)+Integration-1))*$D$110,"")</f>
        <v>30951.702222302094</v>
      </c>
      <c r="E174" s="77">
        <f ca="1">IFERROR(AVERAGE(INDEX(INDIRECT("input!" &amp; $E$112 &amp; ":" &amp; $E$112),FirstRowInput+Integration*COUNT($B$114:B173)):INDEX(INDIRECT("input!" &amp; $E$112 &amp; ":" &amp; $E$112),FirstRowInput+Integration*COUNT($B$114:B173)+Integration-1))*$E$110,"")</f>
        <v>16432.269281449258</v>
      </c>
      <c r="F174" s="77">
        <f ca="1">IFERROR(AVERAGE(INDEX(INDIRECT("input!" &amp; $F$112 &amp; ":" &amp; $F$112),FirstRowInput+Integration*COUNT($B$114:B173)):INDEX(INDIRECT("input!" &amp; $F$112 &amp; ":" &amp; $F$112),FirstRowInput+Integration*COUNT($B$114:B173)+Integration-1))*$F$110,"")</f>
        <v>10495.685990735712</v>
      </c>
      <c r="G174" s="77">
        <f ca="1">IFERROR(AVERAGE(INDEX(INDIRECT("input!" &amp; $G$112 &amp; ":" &amp; $G$112),FirstRowInput+Integration*COUNT($B$114:B173)):INDEX(INDIRECT("input!" &amp; $G$112 &amp; ":" &amp; $G$112),FirstRowInput+Integration*COUNT($B$114:B173)+Integration-1))*$G$110,"")</f>
        <v>68448.092608647028</v>
      </c>
      <c r="H174" s="77">
        <f ca="1">IFERROR(AVERAGE(INDEX(INDIRECT("input!" &amp; $H$112 &amp; ":" &amp; $H$112),FirstRowInput+Integration*COUNT($B$114:B173)):INDEX(INDIRECT("input!" &amp; $H$112 &amp; ":" &amp; $H$112),FirstRowInput+Integration*COUNT($B$114:B173)+Integration-1))*$H$110,"")</f>
        <v>9169.6768109210789</v>
      </c>
      <c r="I174" s="42">
        <v>62</v>
      </c>
      <c r="J174" s="74">
        <f t="shared" ca="1" si="139"/>
        <v>62</v>
      </c>
      <c r="K174" s="183">
        <f t="shared" ca="1" si="148"/>
        <v>1</v>
      </c>
      <c r="L174" s="183">
        <f t="shared" ca="1" si="149"/>
        <v>19531.153255124285</v>
      </c>
      <c r="M174" s="183">
        <f t="shared" ca="1" si="150"/>
        <v>30951.702222302094</v>
      </c>
      <c r="N174" s="183">
        <f t="shared" ca="1" si="151"/>
        <v>16432.269281449258</v>
      </c>
      <c r="O174" s="183">
        <f t="shared" ca="1" si="143"/>
        <v>16432.269281449258</v>
      </c>
      <c r="P174" s="183">
        <f t="shared" ca="1" si="152"/>
        <v>68448.092608647028</v>
      </c>
      <c r="Q174" s="183">
        <f t="shared" ca="1" si="140"/>
        <v>10495.685990735712</v>
      </c>
      <c r="R174" s="183">
        <f t="shared" ca="1" si="145"/>
        <v>9169.6768109210789</v>
      </c>
      <c r="S174" s="81"/>
      <c r="U174" s="108"/>
      <c r="V174" s="108"/>
      <c r="X174" s="75">
        <f ca="1">IFERROR(IF(AND(MAX($A$114:X173)&gt;X173+1, MAX($A$114:X173)&gt;20),0,IF(AND(AA174="",AD174=""),0,IF(OR(AA174&gt;LimitSignB10, AD174&gt;LimitSignB11),X173+1,0))),"")</f>
        <v>0</v>
      </c>
    </row>
    <row r="175" spans="1:24" s="14" customFormat="1" ht="15" customHeight="1" x14ac:dyDescent="0.15">
      <c r="A175" s="75">
        <f ca="1">IFERROR(IF(AND(MAX($A$114:A174)&gt;A174+1, MAX($A$114:A174)&gt;20),0,IF(AND(D175="",G175=""),0,IF(OR(D175&gt;LimitSignB10, G175&gt;LimitSignB11),A174+1,0))),"")</f>
        <v>0</v>
      </c>
      <c r="B175" s="76">
        <f ca="1">IFERROR(MyTime(INDEX(INDIRECT("input!"&amp;$B$112&amp;":"&amp;$B$112),FirstRowInput+Integration*COUNT($B$114:B174)) )* $B$110,"")</f>
        <v>3295.6334079999997</v>
      </c>
      <c r="C175" s="77">
        <f ca="1">IFERROR(AVERAGE(INDEX(INDIRECT("input!" &amp; $C$112 &amp; ":" &amp; $C$112),FirstRowInput+Integration*COUNT($B$114:B174)):INDEX(INDIRECT("input!" &amp; $C$112 &amp; ":" &amp; $C$112),FirstRowInput+Integration*COUNT($B$114:B174)+Integration-1))*$C$110,"")</f>
        <v>18721.070901771076</v>
      </c>
      <c r="D175" s="77">
        <f ca="1">IFERROR(AVERAGE(INDEX(INDIRECT("input!" &amp; $D$112 &amp; ":" &amp; $D$112),FirstRowInput+Integration*COUNT($B$114:B174)):INDEX(INDIRECT("input!" &amp; $D$112 &amp; ":" &amp; $D$112),FirstRowInput+Integration*COUNT($B$114:B174)+Integration-1))*$D$110,"")</f>
        <v>33830.085514638071</v>
      </c>
      <c r="E175" s="77">
        <f ca="1">IFERROR(AVERAGE(INDEX(INDIRECT("input!" &amp; $E$112 &amp; ":" &amp; $E$112),FirstRowInput+Integration*COUNT($B$114:B174)):INDEX(INDIRECT("input!" &amp; $E$112 &amp; ":" &amp; $E$112),FirstRowInput+Integration*COUNT($B$114:B174)+Integration-1))*$E$110,"")</f>
        <v>18534.961183255735</v>
      </c>
      <c r="F175" s="77">
        <f ca="1">IFERROR(AVERAGE(INDEX(INDIRECT("input!" &amp; $F$112 &amp; ":" &amp; $F$112),FirstRowInput+Integration*COUNT($B$114:B174)):INDEX(INDIRECT("input!" &amp; $F$112 &amp; ":" &amp; $F$112),FirstRowInput+Integration*COUNT($B$114:B174)+Integration-1))*$F$110,"")</f>
        <v>15162.418097845886</v>
      </c>
      <c r="G175" s="77">
        <f ca="1">IFERROR(AVERAGE(INDEX(INDIRECT("input!" &amp; $G$112 &amp; ":" &amp; $G$112),FirstRowInput+Integration*COUNT($B$114:B174)):INDEX(INDIRECT("input!" &amp; $G$112 &amp; ":" &amp; $G$112),FirstRowInput+Integration*COUNT($B$114:B174)+Integration-1))*$G$110,"")</f>
        <v>70011.495822391968</v>
      </c>
      <c r="H175" s="77">
        <f ca="1">IFERROR(AVERAGE(INDEX(INDIRECT("input!" &amp; $H$112 &amp; ":" &amp; $H$112),FirstRowInput+Integration*COUNT($B$114:B174)):INDEX(INDIRECT("input!" &amp; $H$112 &amp; ":" &amp; $H$112),FirstRowInput+Integration*COUNT($B$114:B174)+Integration-1))*$H$110,"")</f>
        <v>6424.6558569582476</v>
      </c>
      <c r="I175" s="42">
        <v>63</v>
      </c>
      <c r="J175" s="74">
        <f t="shared" ca="1" si="139"/>
        <v>63</v>
      </c>
      <c r="K175" s="183">
        <f t="shared" ca="1" si="148"/>
        <v>1</v>
      </c>
      <c r="L175" s="183">
        <f t="shared" ca="1" si="149"/>
        <v>18721.070901771076</v>
      </c>
      <c r="M175" s="183">
        <f t="shared" ca="1" si="150"/>
        <v>33830.085514638071</v>
      </c>
      <c r="N175" s="183">
        <f t="shared" ca="1" si="151"/>
        <v>18534.961183255735</v>
      </c>
      <c r="O175" s="183">
        <f t="shared" ca="1" si="143"/>
        <v>18534.961183255735</v>
      </c>
      <c r="P175" s="183">
        <f t="shared" ca="1" si="152"/>
        <v>70011.495822391968</v>
      </c>
      <c r="Q175" s="183">
        <f t="shared" ca="1" si="140"/>
        <v>15162.418097845886</v>
      </c>
      <c r="R175" s="183">
        <f t="shared" ca="1" si="145"/>
        <v>6424.6558569582476</v>
      </c>
      <c r="S175" s="81"/>
      <c r="U175" s="108"/>
      <c r="V175" s="108"/>
    </row>
    <row r="176" spans="1:24" s="14" customFormat="1" ht="15" customHeight="1" x14ac:dyDescent="0.15">
      <c r="A176" s="75">
        <f ca="1">IFERROR(IF(AND(MAX($A$114:A175)&gt;A175+1, MAX($A$114:A175)&gt;20),0,IF(AND(D176="",G176=""),0,IF(OR(D176&gt;LimitSignB10, G176&gt;LimitSignB11),A175+1,0))),"")</f>
        <v>0</v>
      </c>
      <c r="B176" s="76">
        <f ca="1">IFERROR(MyTime(INDEX(INDIRECT("input!"&amp;$B$112&amp;":"&amp;$B$112),FirstRowInput+Integration*COUNT($B$114:B175)) )* $B$110,"")</f>
        <v>3295.7015040000001</v>
      </c>
      <c r="C176" s="77">
        <f ca="1">IFERROR(AVERAGE(INDEX(INDIRECT("input!" &amp; $C$112 &amp; ":" &amp; $C$112),FirstRowInput+Integration*COUNT($B$114:B175)):INDEX(INDIRECT("input!" &amp; $C$112 &amp; ":" &amp; $C$112),FirstRowInput+Integration*COUNT($B$114:B175)+Integration-1))*$C$110,"")</f>
        <v>16397.359540442088</v>
      </c>
      <c r="D176" s="77">
        <f ca="1">IFERROR(AVERAGE(INDEX(INDIRECT("input!" &amp; $D$112 &amp; ":" &amp; $D$112),FirstRowInput+Integration*COUNT($B$114:B175)):INDEX(INDIRECT("input!" &amp; $D$112 &amp; ":" &amp; $D$112),FirstRowInput+Integration*COUNT($B$114:B175)+Integration-1))*$D$110,"")</f>
        <v>32389.511597496705</v>
      </c>
      <c r="E176" s="77">
        <f ca="1">IFERROR(AVERAGE(INDEX(INDIRECT("input!" &amp; $E$112 &amp; ":" &amp; $E$112),FirstRowInput+Integration*COUNT($B$114:B175)):INDEX(INDIRECT("input!" &amp; $E$112 &amp; ":" &amp; $E$112),FirstRowInput+Integration*COUNT($B$114:B175)+Integration-1))*$E$110,"")</f>
        <v>19831.801332240455</v>
      </c>
      <c r="F176" s="77">
        <f ca="1">IFERROR(AVERAGE(INDEX(INDIRECT("input!" &amp; $F$112 &amp; ":" &amp; $F$112),FirstRowInput+Integration*COUNT($B$114:B175)):INDEX(INDIRECT("input!" &amp; $F$112 &amp; ":" &amp; $F$112),FirstRowInput+Integration*COUNT($B$114:B175)+Integration-1))*$F$110,"")</f>
        <v>17005.264732610045</v>
      </c>
      <c r="G176" s="77">
        <f ca="1">IFERROR(AVERAGE(INDEX(INDIRECT("input!" &amp; $G$112 &amp; ":" &amp; $G$112),FirstRowInput+Integration*COUNT($B$114:B175)):INDEX(INDIRECT("input!" &amp; $G$112 &amp; ":" &amp; $G$112),FirstRowInput+Integration*COUNT($B$114:B175)+Integration-1))*$G$110,"")</f>
        <v>72090.488924606878</v>
      </c>
      <c r="H176" s="77">
        <f ca="1">IFERROR(AVERAGE(INDEX(INDIRECT("input!" &amp; $H$112 &amp; ":" &amp; $H$112),FirstRowInput+Integration*COUNT($B$114:B175)):INDEX(INDIRECT("input!" &amp; $H$112 &amp; ":" &amp; $H$112),FirstRowInput+Integration*COUNT($B$114:B175)+Integration-1))*$H$110,"")</f>
        <v>7364.1464535520126</v>
      </c>
      <c r="I176" s="42">
        <v>64</v>
      </c>
      <c r="J176" s="74">
        <f t="shared" ca="1" si="139"/>
        <v>64</v>
      </c>
      <c r="K176" s="183">
        <f t="shared" ca="1" si="148"/>
        <v>1</v>
      </c>
      <c r="L176" s="183">
        <f t="shared" ca="1" si="149"/>
        <v>16397.359540442088</v>
      </c>
      <c r="M176" s="183">
        <f t="shared" ca="1" si="150"/>
        <v>32389.511597496705</v>
      </c>
      <c r="N176" s="183">
        <f t="shared" ca="1" si="151"/>
        <v>19831.801332240455</v>
      </c>
      <c r="O176" s="183">
        <f t="shared" ca="1" si="143"/>
        <v>19831.801332240455</v>
      </c>
      <c r="P176" s="183">
        <f t="shared" ca="1" si="152"/>
        <v>72090.488924606878</v>
      </c>
      <c r="Q176" s="183">
        <f t="shared" ca="1" si="140"/>
        <v>17005.264732610045</v>
      </c>
      <c r="R176" s="183">
        <f t="shared" ca="1" si="145"/>
        <v>7364.1464535520126</v>
      </c>
      <c r="S176" s="81"/>
      <c r="U176" s="108"/>
      <c r="V176" s="108"/>
    </row>
    <row r="177" spans="1:22" s="14" customFormat="1" ht="15" customHeight="1" x14ac:dyDescent="0.15">
      <c r="A177" s="75">
        <f ca="1">IFERROR(IF(AND(MAX($A$114:A176)&gt;A176+1, MAX($A$114:A176)&gt;20),0,IF(AND(D177="",G177=""),0,IF(OR(D177&gt;LimitSignB10, G177&gt;LimitSignB11),A176+1,0))),"")</f>
        <v>0</v>
      </c>
      <c r="B177" s="76">
        <f ca="1">IFERROR(MyTime(INDEX(INDIRECT("input!"&amp;$B$112&amp;":"&amp;$B$112),FirstRowInput+Integration*COUNT($B$114:B176)) )* $B$110,"")</f>
        <v>3295.7696000000001</v>
      </c>
      <c r="C177" s="77">
        <f ca="1">IFERROR(AVERAGE(INDEX(INDIRECT("input!" &amp; $C$112 &amp; ":" &amp; $C$112),FirstRowInput+Integration*COUNT($B$114:B176)):INDEX(INDIRECT("input!" &amp; $C$112 &amp; ":" &amp; $C$112),FirstRowInput+Integration*COUNT($B$114:B176)+Integration-1))*$C$110,"")</f>
        <v>18676.19239512624</v>
      </c>
      <c r="D177" s="77">
        <f ca="1">IFERROR(AVERAGE(INDEX(INDIRECT("input!" &amp; $D$112 &amp; ":" &amp; $D$112),FirstRowInput+Integration*COUNT($B$114:B176)):INDEX(INDIRECT("input!" &amp; $D$112 &amp; ":" &amp; $D$112),FirstRowInput+Integration*COUNT($B$114:B176)+Integration-1))*$D$110,"")</f>
        <v>30944.494399746971</v>
      </c>
      <c r="E177" s="77">
        <f ca="1">IFERROR(AVERAGE(INDEX(INDIRECT("input!" &amp; $E$112 &amp; ":" &amp; $E$112),FirstRowInput+Integration*COUNT($B$114:B176)):INDEX(INDIRECT("input!" &amp; $E$112 &amp; ":" &amp; $E$112),FirstRowInput+Integration*COUNT($B$114:B176)+Integration-1))*$E$110,"")</f>
        <v>17044.424041019916</v>
      </c>
      <c r="F177" s="77">
        <f ca="1">IFERROR(AVERAGE(INDEX(INDIRECT("input!" &amp; $F$112 &amp; ":" &amp; $F$112),FirstRowInput+Integration*COUNT($B$114:B176)):INDEX(INDIRECT("input!" &amp; $F$112 &amp; ":" &amp; $F$112),FirstRowInput+Integration*COUNT($B$114:B176)+Integration-1))*$F$110,"")</f>
        <v>8114.4246747806746</v>
      </c>
      <c r="G177" s="77">
        <f ca="1">IFERROR(AVERAGE(INDEX(INDIRECT("input!" &amp; $G$112 &amp; ":" &amp; $G$112),FirstRowInput+Integration*COUNT($B$114:B176)):INDEX(INDIRECT("input!" &amp; $G$112 &amp; ":" &amp; $G$112),FirstRowInput+Integration*COUNT($B$114:B176)+Integration-1))*$G$110,"")</f>
        <v>71676.570184405675</v>
      </c>
      <c r="H177" s="77">
        <f ca="1">IFERROR(AVERAGE(INDEX(INDIRECT("input!" &amp; $H$112 &amp; ":" &amp; $H$112),FirstRowInput+Integration*COUNT($B$114:B176)):INDEX(INDIRECT("input!" &amp; $H$112 &amp; ":" &amp; $H$112),FirstRowInput+Integration*COUNT($B$114:B176)+Integration-1))*$H$110,"")</f>
        <v>14358.154243028357</v>
      </c>
      <c r="I177" s="42">
        <v>65</v>
      </c>
      <c r="J177" s="74">
        <f t="shared" ca="1" si="139"/>
        <v>65</v>
      </c>
      <c r="K177" s="183">
        <f t="shared" ca="1" si="148"/>
        <v>1</v>
      </c>
      <c r="L177" s="183">
        <f t="shared" ca="1" si="149"/>
        <v>18676.19239512624</v>
      </c>
      <c r="M177" s="183">
        <f t="shared" ca="1" si="150"/>
        <v>30944.494399746971</v>
      </c>
      <c r="N177" s="183">
        <f t="shared" ca="1" si="151"/>
        <v>17044.424041019916</v>
      </c>
      <c r="O177" s="183">
        <f t="shared" ca="1" si="143"/>
        <v>17044.424041019916</v>
      </c>
      <c r="P177" s="183">
        <f t="shared" ca="1" si="152"/>
        <v>71676.570184405675</v>
      </c>
      <c r="Q177" s="183">
        <f t="shared" ca="1" si="140"/>
        <v>8114.4246747806746</v>
      </c>
      <c r="R177" s="183">
        <f t="shared" ca="1" si="145"/>
        <v>14358.154243028357</v>
      </c>
      <c r="S177" s="81"/>
      <c r="U177" s="108"/>
      <c r="V177" s="108"/>
    </row>
    <row r="178" spans="1:22" s="14" customFormat="1" ht="15" customHeight="1" x14ac:dyDescent="0.15">
      <c r="A178" s="75">
        <f ca="1">IFERROR(IF(AND(MAX($A$114:A177)&gt;A177+1, MAX($A$114:A177)&gt;20),0,IF(AND(D178="",G178=""),0,IF(OR(D178&gt;LimitSignB10, G178&gt;LimitSignB11),A177+1,0))),"")</f>
        <v>0</v>
      </c>
      <c r="B178" s="76">
        <f ca="1">IFERROR(MyTime(INDEX(INDIRECT("input!"&amp;$B$112&amp;":"&amp;$B$112),FirstRowInput+Integration*COUNT($B$114:B177)) )* $B$110,"")</f>
        <v>3295.8374399999998</v>
      </c>
      <c r="C178" s="77">
        <f ca="1">IFERROR(AVERAGE(INDEX(INDIRECT("input!" &amp; $C$112 &amp; ":" &amp; $C$112),FirstRowInput+Integration*COUNT($B$114:B177)):INDEX(INDIRECT("input!" &amp; $C$112 &amp; ":" &amp; $C$112),FirstRowInput+Integration*COUNT($B$114:B177)+Integration-1))*$C$110,"")</f>
        <v>20178.353835471375</v>
      </c>
      <c r="D178" s="77">
        <f ca="1">IFERROR(AVERAGE(INDEX(INDIRECT("input!" &amp; $D$112 &amp; ":" &amp; $D$112),FirstRowInput+Integration*COUNT($B$114:B177)):INDEX(INDIRECT("input!" &amp; $D$112 &amp; ":" &amp; $D$112),FirstRowInput+Integration*COUNT($B$114:B177)+Integration-1))*$D$110,"")</f>
        <v>32055.50212896982</v>
      </c>
      <c r="E178" s="77">
        <f ca="1">IFERROR(AVERAGE(INDEX(INDIRECT("input!" &amp; $E$112 &amp; ":" &amp; $E$112),FirstRowInput+Integration*COUNT($B$114:B177)):INDEX(INDIRECT("input!" &amp; $E$112 &amp; ":" &amp; $E$112),FirstRowInput+Integration*COUNT($B$114:B177)+Integration-1))*$E$110,"")</f>
        <v>15926.651961070718</v>
      </c>
      <c r="F178" s="77">
        <f ca="1">IFERROR(AVERAGE(INDEX(INDIRECT("input!" &amp; $F$112 &amp; ":" &amp; $F$112),FirstRowInput+Integration*COUNT($B$114:B177)):INDEX(INDIRECT("input!" &amp; $F$112 &amp; ":" &amp; $F$112),FirstRowInput+Integration*COUNT($B$114:B177)+Integration-1))*$F$110,"")</f>
        <v>8468.6954425256354</v>
      </c>
      <c r="G178" s="77">
        <f ca="1">IFERROR(AVERAGE(INDEX(INDIRECT("input!" &amp; $G$112 &amp; ":" &amp; $G$112),FirstRowInput+Integration*COUNT($B$114:B177)):INDEX(INDIRECT("input!" &amp; $G$112 &amp; ":" &amp; $G$112),FirstRowInput+Integration*COUNT($B$114:B177)+Integration-1))*$G$110,"")</f>
        <v>68542.772749619369</v>
      </c>
      <c r="H178" s="77">
        <f ca="1">IFERROR(AVERAGE(INDEX(INDIRECT("input!" &amp; $H$112 &amp; ":" &amp; $H$112),FirstRowInput+Integration*COUNT($B$114:B177)):INDEX(INDIRECT("input!" &amp; $H$112 &amp; ":" &amp; $H$112),FirstRowInput+Integration*COUNT($B$114:B177)+Integration-1))*$H$110,"")</f>
        <v>12268.97308304254</v>
      </c>
      <c r="I178" s="42">
        <v>66</v>
      </c>
      <c r="J178" s="74">
        <f t="shared" ref="J178:J241" ca="1" si="161">IF(K178=1,I178,"")</f>
        <v>66</v>
      </c>
      <c r="K178" s="183">
        <f t="shared" ca="1" si="148"/>
        <v>1</v>
      </c>
      <c r="L178" s="183">
        <f t="shared" ca="1" si="149"/>
        <v>20178.353835471375</v>
      </c>
      <c r="M178" s="183">
        <f t="shared" ca="1" si="150"/>
        <v>32055.50212896982</v>
      </c>
      <c r="N178" s="183">
        <f t="shared" ca="1" si="151"/>
        <v>15926.651961070718</v>
      </c>
      <c r="O178" s="183">
        <f t="shared" ca="1" si="143"/>
        <v>15926.651961070718</v>
      </c>
      <c r="P178" s="183">
        <f t="shared" ca="1" si="152"/>
        <v>68542.772749619369</v>
      </c>
      <c r="Q178" s="183">
        <f t="shared" ca="1" si="140"/>
        <v>8468.6954425256354</v>
      </c>
      <c r="R178" s="183">
        <f t="shared" ca="1" si="145"/>
        <v>12268.97308304254</v>
      </c>
      <c r="S178" s="81"/>
      <c r="U178" s="108"/>
      <c r="V178" s="108"/>
    </row>
    <row r="179" spans="1:22" s="14" customFormat="1" ht="15" customHeight="1" x14ac:dyDescent="0.15">
      <c r="A179" s="75">
        <f ca="1">IFERROR(IF(AND(MAX($A$114:A178)&gt;A178+1, MAX($A$114:A178)&gt;20),0,IF(AND(D179="",G179=""),0,IF(OR(D179&gt;LimitSignB10, G179&gt;LimitSignB11),A178+1,0))),"")</f>
        <v>0</v>
      </c>
      <c r="B179" s="76">
        <f ca="1">IFERROR(MyTime(INDEX(INDIRECT("input!"&amp;$B$112&amp;":"&amp;$B$112),FirstRowInput+Integration*COUNT($B$114:B178)) )* $B$110,"")</f>
        <v>3295.9055359999998</v>
      </c>
      <c r="C179" s="77">
        <f ca="1">IFERROR(AVERAGE(INDEX(INDIRECT("input!" &amp; $C$112 &amp; ":" &amp; $C$112),FirstRowInput+Integration*COUNT($B$114:B178)):INDEX(INDIRECT("input!" &amp; $C$112 &amp; ":" &amp; $C$112),FirstRowInput+Integration*COUNT($B$114:B178)+Integration-1))*$C$110,"")</f>
        <v>18520.495810823635</v>
      </c>
      <c r="D179" s="77">
        <f ca="1">IFERROR(AVERAGE(INDEX(INDIRECT("input!" &amp; $D$112 &amp; ":" &amp; $D$112),FirstRowInput+Integration*COUNT($B$114:B178)):INDEX(INDIRECT("input!" &amp; $D$112 &amp; ":" &amp; $D$112),FirstRowInput+Integration*COUNT($B$114:B178)+Integration-1))*$D$110,"")</f>
        <v>34450.00049568442</v>
      </c>
      <c r="E179" s="77">
        <f ca="1">IFERROR(AVERAGE(INDEX(INDIRECT("input!" &amp; $E$112 &amp; ":" &amp; $E$112),FirstRowInput+Integration*COUNT($B$114:B178)):INDEX(INDIRECT("input!" &amp; $E$112 &amp; ":" &amp; $E$112),FirstRowInput+Integration*COUNT($B$114:B178)+Integration-1))*$E$110,"")</f>
        <v>19295.756904384292</v>
      </c>
      <c r="F179" s="77">
        <f ca="1">IFERROR(AVERAGE(INDEX(INDIRECT("input!" &amp; $F$112 &amp; ":" &amp; $F$112),FirstRowInput+Integration*COUNT($B$114:B178)):INDEX(INDIRECT("input!" &amp; $F$112 &amp; ":" &amp; $F$112),FirstRowInput+Integration*COUNT($B$114:B178)+Integration-1))*$F$110,"")</f>
        <v>11198.359540305788</v>
      </c>
      <c r="G179" s="77">
        <f ca="1">IFERROR(AVERAGE(INDEX(INDIRECT("input!" &amp; $G$112 &amp; ":" &amp; $G$112),FirstRowInput+Integration*COUNT($B$114:B178)):INDEX(INDIRECT("input!" &amp; $G$112 &amp; ":" &amp; $G$112),FirstRowInput+Integration*COUNT($B$114:B178)+Integration-1))*$G$110,"")</f>
        <v>69031.018836225267</v>
      </c>
      <c r="H179" s="77">
        <f ca="1">IFERROR(AVERAGE(INDEX(INDIRECT("input!" &amp; $H$112 &amp; ":" &amp; $H$112),FirstRowInput+Integration*COUNT($B$114:B178)):INDEX(INDIRECT("input!" &amp; $H$112 &amp; ":" &amp; $H$112),FirstRowInput+Integration*COUNT($B$114:B178)+Integration-1))*$H$110,"")</f>
        <v>1724.9809139365109</v>
      </c>
      <c r="I179" s="42">
        <v>67</v>
      </c>
      <c r="J179" s="74">
        <f t="shared" ca="1" si="161"/>
        <v>67</v>
      </c>
      <c r="K179" s="183">
        <f t="shared" ref="K179:K185" ca="1" si="162">IFERROR(IF(OR(D179&gt;$M$111,G179&gt;$P$111,MAX(A179:A193)&gt;=15),"",1),"")</f>
        <v>1</v>
      </c>
      <c r="L179" s="183">
        <f t="shared" ref="L179:L185" ca="1" si="163">IFERROR(IF($K179=1,C179,""),"")</f>
        <v>18520.495810823635</v>
      </c>
      <c r="M179" s="183">
        <f t="shared" ref="M179:M185" ca="1" si="164">IFERROR(IF($K179=1,D179,""),"")</f>
        <v>34450.00049568442</v>
      </c>
      <c r="N179" s="183">
        <f t="shared" ref="N179:N185" ca="1" si="165">IFERROR(IF($K179=1,E179,""),"")</f>
        <v>19295.756904384292</v>
      </c>
      <c r="O179" s="183">
        <f t="shared" ref="O179:O181" ca="1" si="166">IFERROR(IF($K179=1,E179,""),"")</f>
        <v>19295.756904384292</v>
      </c>
      <c r="P179" s="183">
        <f t="shared" ref="P179:P181" ca="1" si="167">IFERROR(IF($K179=1,G179,""),"")</f>
        <v>69031.018836225267</v>
      </c>
      <c r="Q179" s="183">
        <f t="shared" ref="Q179:Q181" ca="1" si="168">IFERROR(IF($K179=1,F179,""),"")</f>
        <v>11198.359540305788</v>
      </c>
      <c r="R179" s="183">
        <f t="shared" ref="R179:R181" ca="1" si="169">IFERROR(IF($K179=1,H179,""),"")</f>
        <v>1724.9809139365109</v>
      </c>
      <c r="S179" s="81"/>
      <c r="U179" s="108"/>
      <c r="V179" s="108"/>
    </row>
    <row r="180" spans="1:22" s="14" customFormat="1" ht="15" customHeight="1" x14ac:dyDescent="0.15">
      <c r="A180" s="75">
        <f ca="1">IFERROR(IF(AND(MAX($A$114:A179)&gt;A179+1, MAX($A$114:A179)&gt;20),0,IF(AND(D180="",G180=""),0,IF(OR(D180&gt;LimitSignB10, G180&gt;LimitSignB11),A179+1,0))),"")</f>
        <v>0</v>
      </c>
      <c r="B180" s="76">
        <f ca="1">IFERROR(MyTime(INDEX(INDIRECT("input!"&amp;$B$112&amp;":"&amp;$B$112),FirstRowInput+Integration*COUNT($B$114:B179)) )* $B$110,"")</f>
        <v>3295.9736320000002</v>
      </c>
      <c r="C180" s="77">
        <f ca="1">IFERROR(AVERAGE(INDEX(INDIRECT("input!" &amp; $C$112 &amp; ":" &amp; $C$112),FirstRowInput+Integration*COUNT($B$114:B179)):INDEX(INDIRECT("input!" &amp; $C$112 &amp; ":" &amp; $C$112),FirstRowInput+Integration*COUNT($B$114:B179)+Integration-1))*$C$110,"")</f>
        <v>18661.118596137141</v>
      </c>
      <c r="D180" s="77">
        <f ca="1">IFERROR(AVERAGE(INDEX(INDIRECT("input!" &amp; $D$112 &amp; ":" &amp; $D$112),FirstRowInput+Integration*COUNT($B$114:B179)):INDEX(INDIRECT("input!" &amp; $D$112 &amp; ":" &amp; $D$112),FirstRowInput+Integration*COUNT($B$114:B179)+Integration-1))*$D$110,"")</f>
        <v>32505.883067355735</v>
      </c>
      <c r="E180" s="77">
        <f ca="1">IFERROR(AVERAGE(INDEX(INDIRECT("input!" &amp; $E$112 &amp; ":" &amp; $E$112),FirstRowInput+Integration*COUNT($B$114:B179)):INDEX(INDIRECT("input!" &amp; $E$112 &amp; ":" &amp; $E$112),FirstRowInput+Integration*COUNT($B$114:B179)+Integration-1))*$E$110,"")</f>
        <v>20182.467188983883</v>
      </c>
      <c r="F180" s="77">
        <f ca="1">IFERROR(AVERAGE(INDEX(INDIRECT("input!" &amp; $F$112 &amp; ":" &amp; $F$112),FirstRowInput+Integration*COUNT($B$114:B179)):INDEX(INDIRECT("input!" &amp; $F$112 &amp; ":" &amp; $F$112),FirstRowInput+Integration*COUNT($B$114:B179)+Integration-1))*$F$110,"")</f>
        <v>10444.154033349816</v>
      </c>
      <c r="G180" s="77">
        <f ca="1">IFERROR(AVERAGE(INDEX(INDIRECT("input!" &amp; $G$112 &amp; ":" &amp; $G$112),FirstRowInput+Integration*COUNT($B$114:B179)):INDEX(INDIRECT("input!" &amp; $G$112 &amp; ":" &amp; $G$112),FirstRowInput+Integration*COUNT($B$114:B179)+Integration-1))*$G$110,"")</f>
        <v>67153.686468170636</v>
      </c>
      <c r="H180" s="77">
        <f ca="1">IFERROR(AVERAGE(INDEX(INDIRECT("input!" &amp; $H$112 &amp; ":" &amp; $H$112),FirstRowInput+Integration*COUNT($B$114:B179)):INDEX(INDIRECT("input!" &amp; $H$112 &amp; ":" &amp; $H$112),FirstRowInput+Integration*COUNT($B$114:B179)+Integration-1))*$H$110,"")</f>
        <v>14339.014295183135</v>
      </c>
      <c r="I180" s="42">
        <v>68</v>
      </c>
      <c r="J180" s="74">
        <f t="shared" ca="1" si="161"/>
        <v>68</v>
      </c>
      <c r="K180" s="183">
        <f t="shared" ca="1" si="162"/>
        <v>1</v>
      </c>
      <c r="L180" s="183">
        <f t="shared" ca="1" si="163"/>
        <v>18661.118596137141</v>
      </c>
      <c r="M180" s="183">
        <f t="shared" ca="1" si="164"/>
        <v>32505.883067355735</v>
      </c>
      <c r="N180" s="183">
        <f t="shared" ca="1" si="165"/>
        <v>20182.467188983883</v>
      </c>
      <c r="O180" s="183">
        <f t="shared" ca="1" si="166"/>
        <v>20182.467188983883</v>
      </c>
      <c r="P180" s="183">
        <f t="shared" ca="1" si="167"/>
        <v>67153.686468170636</v>
      </c>
      <c r="Q180" s="183">
        <f t="shared" ca="1" si="168"/>
        <v>10444.154033349816</v>
      </c>
      <c r="R180" s="183">
        <f t="shared" ca="1" si="169"/>
        <v>14339.014295183135</v>
      </c>
      <c r="S180" s="81"/>
      <c r="U180" s="108"/>
      <c r="V180" s="108"/>
    </row>
    <row r="181" spans="1:22" s="14" customFormat="1" ht="15" customHeight="1" x14ac:dyDescent="0.15">
      <c r="A181" s="75">
        <f ca="1">IFERROR(IF(AND(MAX($A$114:A180)&gt;A180+1, MAX($A$114:A180)&gt;20),0,IF(AND(D181="",G181=""),0,IF(OR(D181&gt;LimitSignB10, G181&gt;LimitSignB11),A180+1,0))),"")</f>
        <v>0</v>
      </c>
      <c r="B181" s="76">
        <f ca="1">IFERROR(MyTime(INDEX(INDIRECT("input!"&amp;$B$112&amp;":"&amp;$B$112),FirstRowInput+Integration*COUNT($B$114:B180)) )* $B$110,"")</f>
        <v>3296.0417280000001</v>
      </c>
      <c r="C181" s="77">
        <f ca="1">IFERROR(AVERAGE(INDEX(INDIRECT("input!" &amp; $C$112 &amp; ":" &amp; $C$112),FirstRowInput+Integration*COUNT($B$114:B180)):INDEX(INDIRECT("input!" &amp; $C$112 &amp; ":" &amp; $C$112),FirstRowInput+Integration*COUNT($B$114:B180)+Integration-1))*$C$110,"")</f>
        <v>23051.167533014399</v>
      </c>
      <c r="D181" s="77">
        <f ca="1">IFERROR(AVERAGE(INDEX(INDIRECT("input!" &amp; $D$112 &amp; ":" &amp; $D$112),FirstRowInput+Integration*COUNT($B$114:B180)):INDEX(INDIRECT("input!" &amp; $D$112 &amp; ":" &amp; $D$112),FirstRowInput+Integration*COUNT($B$114:B180)+Integration-1))*$D$110,"")</f>
        <v>30249.09170542971</v>
      </c>
      <c r="E181" s="77">
        <f ca="1">IFERROR(AVERAGE(INDEX(INDIRECT("input!" &amp; $E$112 &amp; ":" &amp; $E$112),FirstRowInput+Integration*COUNT($B$114:B180)):INDEX(INDIRECT("input!" &amp; $E$112 &amp; ":" &amp; $E$112),FirstRowInput+Integration*COUNT($B$114:B180)+Integration-1))*$E$110,"")</f>
        <v>18303.11637307065</v>
      </c>
      <c r="F181" s="77">
        <f ca="1">IFERROR(AVERAGE(INDEX(INDIRECT("input!" &amp; $F$112 &amp; ":" &amp; $F$112),FirstRowInput+Integration*COUNT($B$114:B180)):INDEX(INDIRECT("input!" &amp; $F$112 &amp; ":" &amp; $F$112),FirstRowInput+Integration*COUNT($B$114:B180)+Integration-1))*$F$110,"")</f>
        <v>11973.504862445881</v>
      </c>
      <c r="G181" s="77">
        <f ca="1">IFERROR(AVERAGE(INDEX(INDIRECT("input!" &amp; $G$112 &amp; ":" &amp; $G$112),FirstRowInput+Integration*COUNT($B$114:B180)):INDEX(INDIRECT("input!" &amp; $G$112 &amp; ":" &amp; $G$112),FirstRowInput+Integration*COUNT($B$114:B180)+Integration-1))*$G$110,"")</f>
        <v>68076.719914324989</v>
      </c>
      <c r="H181" s="77">
        <f ca="1">IFERROR(AVERAGE(INDEX(INDIRECT("input!" &amp; $H$112 &amp; ":" &amp; $H$112),FirstRowInput+Integration*COUNT($B$114:B180)):INDEX(INDIRECT("input!" &amp; $H$112 &amp; ":" &amp; $H$112),FirstRowInput+Integration*COUNT($B$114:B180)+Integration-1))*$H$110,"")</f>
        <v>14531.593112347709</v>
      </c>
      <c r="I181" s="42">
        <v>69</v>
      </c>
      <c r="J181" s="74">
        <f t="shared" ca="1" si="161"/>
        <v>69</v>
      </c>
      <c r="K181" s="183">
        <f t="shared" ca="1" si="162"/>
        <v>1</v>
      </c>
      <c r="L181" s="183">
        <f t="shared" ca="1" si="163"/>
        <v>23051.167533014399</v>
      </c>
      <c r="M181" s="183">
        <f t="shared" ca="1" si="164"/>
        <v>30249.09170542971</v>
      </c>
      <c r="N181" s="183">
        <f t="shared" ca="1" si="165"/>
        <v>18303.11637307065</v>
      </c>
      <c r="O181" s="183">
        <f t="shared" ca="1" si="166"/>
        <v>18303.11637307065</v>
      </c>
      <c r="P181" s="183">
        <f t="shared" ca="1" si="167"/>
        <v>68076.719914324989</v>
      </c>
      <c r="Q181" s="183">
        <f t="shared" ca="1" si="168"/>
        <v>11973.504862445881</v>
      </c>
      <c r="R181" s="183">
        <f t="shared" ca="1" si="169"/>
        <v>14531.593112347709</v>
      </c>
      <c r="S181" s="81"/>
      <c r="U181" s="108"/>
      <c r="V181" s="108"/>
    </row>
    <row r="182" spans="1:22" s="14" customFormat="1" ht="15" customHeight="1" x14ac:dyDescent="0.15">
      <c r="A182" s="75">
        <f ca="1">IFERROR(IF(AND(MAX($A$114:A181)&gt;A181+1, MAX($A$114:A181)&gt;20),0,IF(AND(D182="",G182=""),0,IF(OR(D182&gt;LimitSignB10, G182&gt;LimitSignB11),A181+1,0))),"")</f>
        <v>0</v>
      </c>
      <c r="B182" s="76">
        <f ca="1">IFERROR(MyTime(INDEX(INDIRECT("input!"&amp;$B$112&amp;":"&amp;$B$112),FirstRowInput+Integration*COUNT($B$114:B181)) )* $B$110,"")</f>
        <v>3296.1098240000001</v>
      </c>
      <c r="C182" s="77">
        <f ca="1">IFERROR(AVERAGE(INDEX(INDIRECT("input!" &amp; $C$112 &amp; ":" &amp; $C$112),FirstRowInput+Integration*COUNT($B$114:B181)):INDEX(INDIRECT("input!" &amp; $C$112 &amp; ":" &amp; $C$112),FirstRowInput+Integration*COUNT($B$114:B181)+Integration-1))*$C$110,"")</f>
        <v>16568.639842858771</v>
      </c>
      <c r="D182" s="77">
        <f ca="1">IFERROR(AVERAGE(INDEX(INDIRECT("input!" &amp; $D$112 &amp; ":" &amp; $D$112),FirstRowInput+Integration*COUNT($B$114:B181)):INDEX(INDIRECT("input!" &amp; $D$112 &amp; ":" &amp; $D$112),FirstRowInput+Integration*COUNT($B$114:B181)+Integration-1))*$D$110,"")</f>
        <v>33947.257283930332</v>
      </c>
      <c r="E182" s="77">
        <f ca="1">IFERROR(AVERAGE(INDEX(INDIRECT("input!" &amp; $E$112 &amp; ":" &amp; $E$112),FirstRowInput+Integration*COUNT($B$114:B181)):INDEX(INDIRECT("input!" &amp; $E$112 &amp; ":" &amp; $E$112),FirstRowInput+Integration*COUNT($B$114:B181)+Integration-1))*$E$110,"")</f>
        <v>17138.978725020672</v>
      </c>
      <c r="F182" s="77">
        <f ca="1">IFERROR(AVERAGE(INDEX(INDIRECT("input!" &amp; $F$112 &amp; ":" &amp; $F$112),FirstRowInput+Integration*COUNT($B$114:B181)):INDEX(INDIRECT("input!" &amp; $F$112 &amp; ":" &amp; $F$112),FirstRowInput+Integration*COUNT($B$114:B181)+Integration-1))*$F$110,"")</f>
        <v>10991.097949975167</v>
      </c>
      <c r="G182" s="77">
        <f ca="1">IFERROR(AVERAGE(INDEX(INDIRECT("input!" &amp; $G$112 &amp; ":" &amp; $G$112),FirstRowInput+Integration*COUNT($B$114:B181)):INDEX(INDIRECT("input!" &amp; $G$112 &amp; ":" &amp; $G$112),FirstRowInput+Integration*COUNT($B$114:B181)+Integration-1))*$G$110,"")</f>
        <v>70855.128943935022</v>
      </c>
      <c r="H182" s="77">
        <f ca="1">IFERROR(AVERAGE(INDEX(INDIRECT("input!" &amp; $H$112 &amp; ":" &amp; $H$112),FirstRowInput+Integration*COUNT($B$114:B181)):INDEX(INDIRECT("input!" &amp; $H$112 &amp; ":" &amp; $H$112),FirstRowInput+Integration*COUNT($B$114:B181)+Integration-1))*$H$110,"")</f>
        <v>17521.227645281691</v>
      </c>
      <c r="I182" s="42">
        <v>70</v>
      </c>
      <c r="J182" s="74">
        <f t="shared" ca="1" si="161"/>
        <v>70</v>
      </c>
      <c r="K182" s="183">
        <f t="shared" ca="1" si="162"/>
        <v>1</v>
      </c>
      <c r="L182" s="183">
        <f t="shared" ca="1" si="163"/>
        <v>16568.639842858771</v>
      </c>
      <c r="M182" s="183">
        <f t="shared" ca="1" si="164"/>
        <v>33947.257283930332</v>
      </c>
      <c r="N182" s="183">
        <f t="shared" ca="1" si="165"/>
        <v>17138.978725020672</v>
      </c>
      <c r="O182" s="183">
        <f t="shared" ref="O182:O215" ca="1" si="170">IFERROR(IF($K182=1,E182,""),"")</f>
        <v>17138.978725020672</v>
      </c>
      <c r="P182" s="183">
        <f t="shared" ref="P182:P215" ca="1" si="171">IFERROR(IF($K182=1,G182,""),"")</f>
        <v>70855.128943935022</v>
      </c>
      <c r="Q182" s="183">
        <f t="shared" ref="Q182:Q215" ca="1" si="172">IFERROR(IF($K182=1,F182,""),"")</f>
        <v>10991.097949975167</v>
      </c>
      <c r="R182" s="183">
        <f t="shared" ref="R182:R215" ca="1" si="173">IFERROR(IF($K182=1,H182,""),"")</f>
        <v>17521.227645281691</v>
      </c>
      <c r="S182" s="81"/>
      <c r="U182" s="108"/>
      <c r="V182" s="108"/>
    </row>
    <row r="183" spans="1:22" s="14" customFormat="1" ht="15" customHeight="1" x14ac:dyDescent="0.15">
      <c r="A183" s="75">
        <f ca="1">IFERROR(IF(AND(MAX($A$114:A182)&gt;A182+1, MAX($A$114:A182)&gt;20),0,IF(AND(D183="",G183=""),0,IF(OR(D183&gt;LimitSignB10, G183&gt;LimitSignB11),A182+1,0))),"")</f>
        <v>0</v>
      </c>
      <c r="B183" s="76">
        <f ca="1">IFERROR(MyTime(INDEX(INDIRECT("input!"&amp;$B$112&amp;":"&amp;$B$112),FirstRowInput+Integration*COUNT($B$114:B182)) )* $B$110,"")</f>
        <v>3296.1776639999998</v>
      </c>
      <c r="C183" s="77">
        <f ca="1">IFERROR(AVERAGE(INDEX(INDIRECT("input!" &amp; $C$112 &amp; ":" &amp; $C$112),FirstRowInput+Integration*COUNT($B$114:B182)):INDEX(INDIRECT("input!" &amp; $C$112 &amp; ":" &amp; $C$112),FirstRowInput+Integration*COUNT($B$114:B182)+Integration-1))*$C$110,"")</f>
        <v>16835.24338695476</v>
      </c>
      <c r="D183" s="77">
        <f ca="1">IFERROR(AVERAGE(INDEX(INDIRECT("input!" &amp; $D$112 &amp; ":" &amp; $D$112),FirstRowInput+Integration*COUNT($B$114:B182)):INDEX(INDIRECT("input!" &amp; $D$112 &amp; ":" &amp; $D$112),FirstRowInput+Integration*COUNT($B$114:B182)+Integration-1))*$D$110,"")</f>
        <v>34361.668164095441</v>
      </c>
      <c r="E183" s="77">
        <f ca="1">IFERROR(AVERAGE(INDEX(INDIRECT("input!" &amp; $E$112 &amp; ":" &amp; $E$112),FirstRowInput+Integration*COUNT($B$114:B182)):INDEX(INDIRECT("input!" &amp; $E$112 &amp; ":" &amp; $E$112),FirstRowInput+Integration*COUNT($B$114:B182)+Integration-1))*$E$110,"")</f>
        <v>19341.03964745759</v>
      </c>
      <c r="F183" s="77">
        <f ca="1">IFERROR(AVERAGE(INDEX(INDIRECT("input!" &amp; $F$112 &amp; ":" &amp; $F$112),FirstRowInput+Integration*COUNT($B$114:B182)):INDEX(INDIRECT("input!" &amp; $F$112 &amp; ":" &amp; $F$112),FirstRowInput+Integration*COUNT($B$114:B182)+Integration-1))*$F$110,"")</f>
        <v>7069.9445406705645</v>
      </c>
      <c r="G183" s="77">
        <f ca="1">IFERROR(AVERAGE(INDEX(INDIRECT("input!" &amp; $G$112 &amp; ":" &amp; $G$112),FirstRowInput+Integration*COUNT($B$114:B182)):INDEX(INDIRECT("input!" &amp; $G$112 &amp; ":" &amp; $G$112),FirstRowInput+Integration*COUNT($B$114:B182)+Integration-1))*$G$110,"")</f>
        <v>69593.422515077764</v>
      </c>
      <c r="H183" s="77">
        <f ca="1">IFERROR(AVERAGE(INDEX(INDIRECT("input!" &amp; $H$112 &amp; ":" &amp; $H$112),FirstRowInput+Integration*COUNT($B$114:B182)):INDEX(INDIRECT("input!" &amp; $H$112 &amp; ":" &amp; $H$112),FirstRowInput+Integration*COUNT($B$114:B182)+Integration-1))*$H$110,"")</f>
        <v>4539.0145821089154</v>
      </c>
      <c r="I183" s="42">
        <v>71</v>
      </c>
      <c r="J183" s="74">
        <f t="shared" ca="1" si="161"/>
        <v>71</v>
      </c>
      <c r="K183" s="183">
        <f t="shared" ca="1" si="162"/>
        <v>1</v>
      </c>
      <c r="L183" s="183">
        <f t="shared" ca="1" si="163"/>
        <v>16835.24338695476</v>
      </c>
      <c r="M183" s="183">
        <f t="shared" ca="1" si="164"/>
        <v>34361.668164095441</v>
      </c>
      <c r="N183" s="183">
        <f t="shared" ca="1" si="165"/>
        <v>19341.03964745759</v>
      </c>
      <c r="O183" s="183">
        <f t="shared" ca="1" si="170"/>
        <v>19341.03964745759</v>
      </c>
      <c r="P183" s="183">
        <f t="shared" ca="1" si="171"/>
        <v>69593.422515077764</v>
      </c>
      <c r="Q183" s="183">
        <f t="shared" ca="1" si="172"/>
        <v>7069.9445406705645</v>
      </c>
      <c r="R183" s="183">
        <f t="shared" ca="1" si="173"/>
        <v>4539.0145821089154</v>
      </c>
      <c r="S183" s="81"/>
      <c r="U183" s="108"/>
      <c r="V183" s="108"/>
    </row>
    <row r="184" spans="1:22" s="14" customFormat="1" ht="15" customHeight="1" x14ac:dyDescent="0.15">
      <c r="A184" s="75">
        <f ca="1">IFERROR(IF(AND(MAX($A$114:A183)&gt;A183+1, MAX($A$114:A183)&gt;20),0,IF(AND(D184="",G184=""),0,IF(OR(D184&gt;LimitSignB10, G184&gt;LimitSignB11),A183+1,0))),"")</f>
        <v>0</v>
      </c>
      <c r="B184" s="76">
        <f ca="1">IFERROR(MyTime(INDEX(INDIRECT("input!"&amp;$B$112&amp;":"&amp;$B$112),FirstRowInput+Integration*COUNT($B$114:B183)) )* $B$110,"")</f>
        <v>3296.2457599999998</v>
      </c>
      <c r="C184" s="77">
        <f ca="1">IFERROR(AVERAGE(INDEX(INDIRECT("input!" &amp; $C$112 &amp; ":" &amp; $C$112),FirstRowInput+Integration*COUNT($B$114:B183)):INDEX(INDIRECT("input!" &amp; $C$112 &amp; ":" &amp; $C$112),FirstRowInput+Integration*COUNT($B$114:B183)+Integration-1))*$C$110,"")</f>
        <v>20233.056529889611</v>
      </c>
      <c r="D184" s="77">
        <f ca="1">IFERROR(AVERAGE(INDEX(INDIRECT("input!" &amp; $D$112 &amp; ":" &amp; $D$112),FirstRowInput+Integration*COUNT($B$114:B183)):INDEX(INDIRECT("input!" &amp; $D$112 &amp; ":" &amp; $D$112),FirstRowInput+Integration*COUNT($B$114:B183)+Integration-1))*$D$110,"")</f>
        <v>32996.208514566271</v>
      </c>
      <c r="E184" s="77">
        <f ca="1">IFERROR(AVERAGE(INDEX(INDIRECT("input!" &amp; $E$112 &amp; ":" &amp; $E$112),FirstRowInput+Integration*COUNT($B$114:B183)):INDEX(INDIRECT("input!" &amp; $E$112 &amp; ":" &amp; $E$112),FirstRowInput+Integration*COUNT($B$114:B183)+Integration-1))*$E$110,"")</f>
        <v>17999.945165486482</v>
      </c>
      <c r="F184" s="77">
        <f ca="1">IFERROR(AVERAGE(INDEX(INDIRECT("input!" &amp; $F$112 &amp; ":" &amp; $F$112),FirstRowInput+Integration*COUNT($B$114:B183)):INDEX(INDIRECT("input!" &amp; $F$112 &amp; ":" &amp; $F$112),FirstRowInput+Integration*COUNT($B$114:B183)+Integration-1))*$F$110,"")</f>
        <v>17140.908836412753</v>
      </c>
      <c r="G184" s="77">
        <f ca="1">IFERROR(AVERAGE(INDEX(INDIRECT("input!" &amp; $G$112 &amp; ":" &amp; $G$112),FirstRowInput+Integration*COUNT($B$114:B183)):INDEX(INDIRECT("input!" &amp; $G$112 &amp; ":" &amp; $G$112),FirstRowInput+Integration*COUNT($B$114:B183)+Integration-1))*$G$110,"")</f>
        <v>69415.19193754642</v>
      </c>
      <c r="H184" s="77">
        <f ca="1">IFERROR(AVERAGE(INDEX(INDIRECT("input!" &amp; $H$112 &amp; ":" &amp; $H$112),FirstRowInput+Integration*COUNT($B$114:B183)):INDEX(INDIRECT("input!" &amp; $H$112 &amp; ":" &amp; $H$112),FirstRowInput+Integration*COUNT($B$114:B183)+Integration-1))*$H$110,"")</f>
        <v>4885.5139703707764</v>
      </c>
      <c r="I184" s="42">
        <v>72</v>
      </c>
      <c r="J184" s="74">
        <f t="shared" ca="1" si="161"/>
        <v>72</v>
      </c>
      <c r="K184" s="183">
        <f t="shared" ca="1" si="162"/>
        <v>1</v>
      </c>
      <c r="L184" s="183">
        <f t="shared" ca="1" si="163"/>
        <v>20233.056529889611</v>
      </c>
      <c r="M184" s="183">
        <f t="shared" ca="1" si="164"/>
        <v>32996.208514566271</v>
      </c>
      <c r="N184" s="183">
        <f t="shared" ca="1" si="165"/>
        <v>17999.945165486482</v>
      </c>
      <c r="O184" s="183">
        <f t="shared" ca="1" si="170"/>
        <v>17999.945165486482</v>
      </c>
      <c r="P184" s="183">
        <f t="shared" ca="1" si="171"/>
        <v>69415.19193754642</v>
      </c>
      <c r="Q184" s="183">
        <f t="shared" ca="1" si="172"/>
        <v>17140.908836412753</v>
      </c>
      <c r="R184" s="183">
        <f t="shared" ca="1" si="173"/>
        <v>4885.5139703707764</v>
      </c>
      <c r="S184" s="81"/>
      <c r="U184" s="108"/>
      <c r="V184" s="108"/>
    </row>
    <row r="185" spans="1:22" s="14" customFormat="1" ht="15" customHeight="1" x14ac:dyDescent="0.15">
      <c r="A185" s="75">
        <f ca="1">IFERROR(IF(AND(MAX($A$114:A184)&gt;A184+1, MAX($A$114:A184)&gt;20),0,IF(AND(D185="",G185=""),0,IF(OR(D185&gt;LimitSignB10, G185&gt;LimitSignB11),A184+1,0))),"")</f>
        <v>0</v>
      </c>
      <c r="B185" s="76">
        <f ca="1">IFERROR(MyTime(INDEX(INDIRECT("input!"&amp;$B$112&amp;":"&amp;$B$112),FirstRowInput+Integration*COUNT($B$114:B184)) )* $B$110,"")</f>
        <v>3296.3138560000002</v>
      </c>
      <c r="C185" s="77">
        <f ca="1">IFERROR(AVERAGE(INDEX(INDIRECT("input!" &amp; $C$112 &amp; ":" &amp; $C$112),FirstRowInput+Integration*COUNT($B$114:B184)):INDEX(INDIRECT("input!" &amp; $C$112 &amp; ":" &amp; $C$112),FirstRowInput+Integration*COUNT($B$114:B184)+Integration-1))*$C$110,"")</f>
        <v>19702.492600886409</v>
      </c>
      <c r="D185" s="77">
        <f ca="1">IFERROR(AVERAGE(INDEX(INDIRECT("input!" &amp; $D$112 &amp; ":" &amp; $D$112),FirstRowInput+Integration*COUNT($B$114:B184)):INDEX(INDIRECT("input!" &amp; $D$112 &amp; ":" &amp; $D$112),FirstRowInput+Integration*COUNT($B$114:B184)+Integration-1))*$D$110,"")</f>
        <v>31230.017955602918</v>
      </c>
      <c r="E185" s="77">
        <f ca="1">IFERROR(AVERAGE(INDEX(INDIRECT("input!" &amp; $E$112 &amp; ":" &amp; $E$112),FirstRowInput+Integration*COUNT($B$114:B184)):INDEX(INDIRECT("input!" &amp; $E$112 &amp; ":" &amp; $E$112),FirstRowInput+Integration*COUNT($B$114:B184)+Integration-1))*$E$110,"")</f>
        <v>18394.485927851405</v>
      </c>
      <c r="F185" s="77">
        <f ca="1">IFERROR(AVERAGE(INDEX(INDIRECT("input!" &amp; $F$112 &amp; ":" &amp; $F$112),FirstRowInput+Integration*COUNT($B$114:B184)):INDEX(INDIRECT("input!" &amp; $F$112 &amp; ":" &amp; $F$112),FirstRowInput+Integration*COUNT($B$114:B184)+Integration-1))*$F$110,"")</f>
        <v>7860.5257069114468</v>
      </c>
      <c r="G185" s="77">
        <f ca="1">IFERROR(AVERAGE(INDEX(INDIRECT("input!" &amp; $G$112 &amp; ":" &amp; $G$112),FirstRowInput+Integration*COUNT($B$114:B184)):INDEX(INDIRECT("input!" &amp; $G$112 &amp; ":" &amp; $G$112),FirstRowInput+Integration*COUNT($B$114:B184)+Integration-1))*$G$110,"")</f>
        <v>69665.817515906965</v>
      </c>
      <c r="H185" s="77">
        <f ca="1">IFERROR(AVERAGE(INDEX(INDIRECT("input!" &amp; $H$112 &amp; ":" &amp; $H$112),FirstRowInput+Integration*COUNT($B$114:B184)):INDEX(INDIRECT("input!" &amp; $H$112 &amp; ":" &amp; $H$112),FirstRowInput+Integration*COUNT($B$114:B184)+Integration-1))*$H$110,"")</f>
        <v>22415.463605181503</v>
      </c>
      <c r="I185" s="42">
        <v>73</v>
      </c>
      <c r="J185" s="74">
        <f t="shared" ca="1" si="161"/>
        <v>73</v>
      </c>
      <c r="K185" s="183">
        <f t="shared" ca="1" si="162"/>
        <v>1</v>
      </c>
      <c r="L185" s="183">
        <f t="shared" ca="1" si="163"/>
        <v>19702.492600886409</v>
      </c>
      <c r="M185" s="183">
        <f t="shared" ca="1" si="164"/>
        <v>31230.017955602918</v>
      </c>
      <c r="N185" s="183">
        <f t="shared" ca="1" si="165"/>
        <v>18394.485927851405</v>
      </c>
      <c r="O185" s="183">
        <f t="shared" ca="1" si="170"/>
        <v>18394.485927851405</v>
      </c>
      <c r="P185" s="183">
        <f t="shared" ca="1" si="171"/>
        <v>69665.817515906965</v>
      </c>
      <c r="Q185" s="183">
        <f t="shared" ca="1" si="172"/>
        <v>7860.5257069114468</v>
      </c>
      <c r="R185" s="183">
        <f t="shared" ca="1" si="173"/>
        <v>22415.463605181503</v>
      </c>
      <c r="S185" s="81"/>
      <c r="T185" s="108"/>
      <c r="U185" s="108"/>
      <c r="V185" s="108"/>
    </row>
    <row r="186" spans="1:22" s="14" customFormat="1" ht="15" customHeight="1" x14ac:dyDescent="0.15">
      <c r="A186" s="75">
        <f ca="1">IFERROR(IF(AND(MAX($A$114:A185)&gt;A185+1, MAX($A$114:A185)&gt;20),0,IF(AND(D186="",G186=""),0,IF(OR(D186&gt;LimitSignB10, G186&gt;LimitSignB11),A185+1,0))),"")</f>
        <v>0</v>
      </c>
      <c r="B186" s="76">
        <f ca="1">IFERROR(MyTime(INDEX(INDIRECT("input!"&amp;$B$112&amp;":"&amp;$B$112),FirstRowInput+Integration*COUNT($B$114:B185)) )* $B$110,"")</f>
        <v>3296.3819520000002</v>
      </c>
      <c r="C186" s="77">
        <f ca="1">IFERROR(AVERAGE(INDEX(INDIRECT("input!" &amp; $C$112 &amp; ":" &amp; $C$112),FirstRowInput+Integration*COUNT($B$114:B185)):INDEX(INDIRECT("input!" &amp; $C$112 &amp; ":" &amp; $C$112),FirstRowInput+Integration*COUNT($B$114:B185)+Integration-1))*$C$110,"")</f>
        <v>18500.601378146344</v>
      </c>
      <c r="D186" s="77">
        <f ca="1">IFERROR(AVERAGE(INDEX(INDIRECT("input!" &amp; $D$112 &amp; ":" &amp; $D$112),FirstRowInput+Integration*COUNT($B$114:B185)):INDEX(INDIRECT("input!" &amp; $D$112 &amp; ":" &amp; $D$112),FirstRowInput+Integration*COUNT($B$114:B185)+Integration-1))*$D$110,"")</f>
        <v>30957.462674274549</v>
      </c>
      <c r="E186" s="77">
        <f ca="1">IFERROR(AVERAGE(INDEX(INDIRECT("input!" &amp; $E$112 &amp; ":" &amp; $E$112),FirstRowInput+Integration*COUNT($B$114:B185)):INDEX(INDIRECT("input!" &amp; $E$112 &amp; ":" &amp; $E$112),FirstRowInput+Integration*COUNT($B$114:B185)+Integration-1))*$E$110,"")</f>
        <v>21469.775180334374</v>
      </c>
      <c r="F186" s="77">
        <f ca="1">IFERROR(AVERAGE(INDEX(INDIRECT("input!" &amp; $F$112 &amp; ":" &amp; $F$112),FirstRowInput+Integration*COUNT($B$114:B185)):INDEX(INDIRECT("input!" &amp; $F$112 &amp; ":" &amp; $F$112),FirstRowInput+Integration*COUNT($B$114:B185)+Integration-1))*$F$110,"")</f>
        <v>11053.51386774648</v>
      </c>
      <c r="G186" s="77">
        <f ca="1">IFERROR(AVERAGE(INDEX(INDIRECT("input!" &amp; $G$112 &amp; ":" &amp; $G$112),FirstRowInput+Integration*COUNT($B$114:B185)):INDEX(INDIRECT("input!" &amp; $G$112 &amp; ":" &amp; $G$112),FirstRowInput+Integration*COUNT($B$114:B185)+Integration-1))*$G$110,"")</f>
        <v>68392.300951841564</v>
      </c>
      <c r="H186" s="77">
        <f ca="1">IFERROR(AVERAGE(INDEX(INDIRECT("input!" &amp; $H$112 &amp; ":" &amp; $H$112),FirstRowInput+Integration*COUNT($B$114:B185)):INDEX(INDIRECT("input!" &amp; $H$112 &amp; ":" &amp; $H$112),FirstRowInput+Integration*COUNT($B$114:B185)+Integration-1))*$H$110,"")</f>
        <v>3966.7943923619046</v>
      </c>
      <c r="I186" s="42">
        <v>74</v>
      </c>
      <c r="J186" s="74">
        <f t="shared" ref="J186:J192" ca="1" si="174">IF(K186=1,I186,"")</f>
        <v>74</v>
      </c>
      <c r="K186" s="183">
        <f t="shared" ref="K186:K192" ca="1" si="175">IFERROR(IF(OR(D186&gt;$M$111,G186&gt;$P$111,MAX(A186:A200)&gt;=15),"",1),"")</f>
        <v>1</v>
      </c>
      <c r="L186" s="183">
        <f t="shared" ref="L186:L192" ca="1" si="176">IFERROR(IF($K186=1,C186,""),"")</f>
        <v>18500.601378146344</v>
      </c>
      <c r="M186" s="183">
        <f t="shared" ref="M186:M192" ca="1" si="177">IFERROR(IF($K186=1,D186,""),"")</f>
        <v>30957.462674274549</v>
      </c>
      <c r="N186" s="183">
        <f t="shared" ref="N186:N192" ca="1" si="178">IFERROR(IF($K186=1,E186,""),"")</f>
        <v>21469.775180334374</v>
      </c>
      <c r="O186" s="183">
        <f t="shared" ref="O186:O192" ca="1" si="179">IFERROR(IF($K186=1,E186,""),"")</f>
        <v>21469.775180334374</v>
      </c>
      <c r="P186" s="183">
        <f t="shared" ref="P186:P192" ca="1" si="180">IFERROR(IF($K186=1,G186,""),"")</f>
        <v>68392.300951841564</v>
      </c>
      <c r="Q186" s="183">
        <f t="shared" ref="Q186:Q192" ca="1" si="181">IFERROR(IF($K186=1,F186,""),"")</f>
        <v>11053.51386774648</v>
      </c>
      <c r="R186" s="183">
        <f t="shared" ref="R186:R192" ca="1" si="182">IFERROR(IF($K186=1,H186,""),"")</f>
        <v>3966.7943923619046</v>
      </c>
      <c r="S186" s="81"/>
      <c r="T186" s="108"/>
      <c r="U186" s="108"/>
      <c r="V186" s="108"/>
    </row>
    <row r="187" spans="1:22" s="14" customFormat="1" ht="15" customHeight="1" x14ac:dyDescent="0.15">
      <c r="A187" s="75">
        <f ca="1">IFERROR(IF(AND(MAX($A$114:A186)&gt;A186+1, MAX($A$114:A186)&gt;20),0,IF(AND(D187="",G187=""),0,IF(OR(D187&gt;LimitSignB10, G187&gt;LimitSignB11),A186+1,0))),"")</f>
        <v>0</v>
      </c>
      <c r="B187" s="76">
        <f ca="1">IFERROR(MyTime(INDEX(INDIRECT("input!"&amp;$B$112&amp;":"&amp;$B$112),FirstRowInput+Integration*COUNT($B$114:B186)) )* $B$110,"")</f>
        <v>3296.4500480000002</v>
      </c>
      <c r="C187" s="77">
        <f ca="1">IFERROR(AVERAGE(INDEX(INDIRECT("input!" &amp; $C$112 &amp; ":" &amp; $C$112),FirstRowInput+Integration*COUNT($B$114:B186)):INDEX(INDIRECT("input!" &amp; $C$112 &amp; ":" &amp; $C$112),FirstRowInput+Integration*COUNT($B$114:B186)+Integration-1))*$C$110,"")</f>
        <v>18301.364594776598</v>
      </c>
      <c r="D187" s="77">
        <f ca="1">IFERROR(AVERAGE(INDEX(INDIRECT("input!" &amp; $D$112 &amp; ":" &amp; $D$112),FirstRowInput+Integration*COUNT($B$114:B186)):INDEX(INDIRECT("input!" &amp; $D$112 &amp; ":" &amp; $D$112),FirstRowInput+Integration*COUNT($B$114:B186)+Integration-1))*$D$110,"")</f>
        <v>32507.771491848929</v>
      </c>
      <c r="E187" s="77">
        <f ca="1">IFERROR(AVERAGE(INDEX(INDIRECT("input!" &amp; $E$112 &amp; ":" &amp; $E$112),FirstRowInput+Integration*COUNT($B$114:B186)):INDEX(INDIRECT("input!" &amp; $E$112 &amp; ":" &amp; $E$112),FirstRowInput+Integration*COUNT($B$114:B186)+Integration-1))*$E$110,"")</f>
        <v>18715.247624650889</v>
      </c>
      <c r="F187" s="77">
        <f ca="1">IFERROR(AVERAGE(INDEX(INDIRECT("input!" &amp; $F$112 &amp; ":" &amp; $F$112),FirstRowInput+Integration*COUNT($B$114:B186)):INDEX(INDIRECT("input!" &amp; $F$112 &amp; ":" &amp; $F$112),FirstRowInput+Integration*COUNT($B$114:B186)+Integration-1))*$F$110,"")</f>
        <v>6965.6325150259536</v>
      </c>
      <c r="G187" s="77">
        <f ca="1">IFERROR(AVERAGE(INDEX(INDIRECT("input!" &amp; $G$112 &amp; ":" &amp; $G$112),FirstRowInput+Integration*COUNT($B$114:B186)):INDEX(INDIRECT("input!" &amp; $G$112 &amp; ":" &amp; $G$112),FirstRowInput+Integration*COUNT($B$114:B186)+Integration-1))*$G$110,"")</f>
        <v>67938.654129886811</v>
      </c>
      <c r="H187" s="77">
        <f ca="1">IFERROR(AVERAGE(INDEX(INDIRECT("input!" &amp; $H$112 &amp; ":" &amp; $H$112),FirstRowInput+Integration*COUNT($B$114:B186)):INDEX(INDIRECT("input!" &amp; $H$112 &amp; ":" &amp; $H$112),FirstRowInput+Integration*COUNT($B$114:B186)+Integration-1))*$H$110,"")</f>
        <v>14181.909925500346</v>
      </c>
      <c r="I187" s="42">
        <v>75</v>
      </c>
      <c r="J187" s="74">
        <f t="shared" ca="1" si="174"/>
        <v>75</v>
      </c>
      <c r="K187" s="183">
        <f t="shared" ca="1" si="175"/>
        <v>1</v>
      </c>
      <c r="L187" s="183">
        <f t="shared" ca="1" si="176"/>
        <v>18301.364594776598</v>
      </c>
      <c r="M187" s="183">
        <f t="shared" ca="1" si="177"/>
        <v>32507.771491848929</v>
      </c>
      <c r="N187" s="183">
        <f t="shared" ca="1" si="178"/>
        <v>18715.247624650889</v>
      </c>
      <c r="O187" s="183">
        <f t="shared" ca="1" si="179"/>
        <v>18715.247624650889</v>
      </c>
      <c r="P187" s="183">
        <f t="shared" ca="1" si="180"/>
        <v>67938.654129886811</v>
      </c>
      <c r="Q187" s="183">
        <f t="shared" ca="1" si="181"/>
        <v>6965.6325150259536</v>
      </c>
      <c r="R187" s="183">
        <f t="shared" ca="1" si="182"/>
        <v>14181.909925500346</v>
      </c>
      <c r="S187" s="81"/>
      <c r="T187" s="108"/>
      <c r="U187" s="108"/>
      <c r="V187" s="108"/>
    </row>
    <row r="188" spans="1:22" s="14" customFormat="1" ht="15" customHeight="1" x14ac:dyDescent="0.15">
      <c r="A188" s="75">
        <f ca="1">IFERROR(IF(AND(MAX($A$114:A187)&gt;A187+1, MAX($A$114:A187)&gt;20),0,IF(AND(D188="",G188=""),0,IF(OR(D188&gt;LimitSignB10, G188&gt;LimitSignB11),A187+1,0))),"")</f>
        <v>0</v>
      </c>
      <c r="B188" s="76">
        <f ca="1">IFERROR(MyTime(INDEX(INDIRECT("input!"&amp;$B$112&amp;":"&amp;$B$112),FirstRowInput+Integration*COUNT($B$114:B187)) )* $B$110,"")</f>
        <v>3296.5178879999999</v>
      </c>
      <c r="C188" s="77">
        <f ca="1">IFERROR(AVERAGE(INDEX(INDIRECT("input!" &amp; $C$112 &amp; ":" &amp; $C$112),FirstRowInput+Integration*COUNT($B$114:B187)):INDEX(INDIRECT("input!" &amp; $C$112 &amp; ":" &amp; $C$112),FirstRowInput+Integration*COUNT($B$114:B187)+Integration-1))*$C$110,"")</f>
        <v>22521.029967245035</v>
      </c>
      <c r="D188" s="77">
        <f ca="1">IFERROR(AVERAGE(INDEX(INDIRECT("input!" &amp; $D$112 &amp; ":" &amp; $D$112),FirstRowInput+Integration*COUNT($B$114:B187)):INDEX(INDIRECT("input!" &amp; $D$112 &amp; ":" &amp; $D$112),FirstRowInput+Integration*COUNT($B$114:B187)+Integration-1))*$D$110,"")</f>
        <v>33228.165598044958</v>
      </c>
      <c r="E188" s="77">
        <f ca="1">IFERROR(AVERAGE(INDEX(INDIRECT("input!" &amp; $E$112 &amp; ":" &amp; $E$112),FirstRowInput+Integration*COUNT($B$114:B187)):INDEX(INDIRECT("input!" &amp; $E$112 &amp; ":" &amp; $E$112),FirstRowInput+Integration*COUNT($B$114:B187)+Integration-1))*$E$110,"")</f>
        <v>16128.406558231283</v>
      </c>
      <c r="F188" s="77">
        <f ca="1">IFERROR(AVERAGE(INDEX(INDIRECT("input!" &amp; $F$112 &amp; ":" &amp; $F$112),FirstRowInput+Integration*COUNT($B$114:B187)):INDEX(INDIRECT("input!" &amp; $F$112 &amp; ":" &amp; $F$112),FirstRowInput+Integration*COUNT($B$114:B187)+Integration-1))*$F$110,"")</f>
        <v>10989.471990816697</v>
      </c>
      <c r="G188" s="77">
        <f ca="1">IFERROR(AVERAGE(INDEX(INDIRECT("input!" &amp; $G$112 &amp; ":" &amp; $G$112),FirstRowInput+Integration*COUNT($B$114:B187)):INDEX(INDIRECT("input!" &amp; $G$112 &amp; ":" &amp; $G$112),FirstRowInput+Integration*COUNT($B$114:B187)+Integration-1))*$G$110,"")</f>
        <v>71145.753917233014</v>
      </c>
      <c r="H188" s="77">
        <f ca="1">IFERROR(AVERAGE(INDEX(INDIRECT("input!" &amp; $H$112 &amp; ":" &amp; $H$112),FirstRowInput+Integration*COUNT($B$114:B187)):INDEX(INDIRECT("input!" &amp; $H$112 &amp; ":" &amp; $H$112),FirstRowInput+Integration*COUNT($B$114:B187)+Integration-1))*$H$110,"")</f>
        <v>14561.701528379117</v>
      </c>
      <c r="I188" s="42">
        <v>76</v>
      </c>
      <c r="J188" s="74">
        <f t="shared" ca="1" si="174"/>
        <v>76</v>
      </c>
      <c r="K188" s="183">
        <f t="shared" ca="1" si="175"/>
        <v>1</v>
      </c>
      <c r="L188" s="183">
        <f t="shared" ca="1" si="176"/>
        <v>22521.029967245035</v>
      </c>
      <c r="M188" s="183">
        <f t="shared" ca="1" si="177"/>
        <v>33228.165598044958</v>
      </c>
      <c r="N188" s="183">
        <f t="shared" ca="1" si="178"/>
        <v>16128.406558231283</v>
      </c>
      <c r="O188" s="183">
        <f t="shared" ca="1" si="179"/>
        <v>16128.406558231283</v>
      </c>
      <c r="P188" s="183">
        <f t="shared" ca="1" si="180"/>
        <v>71145.753917233014</v>
      </c>
      <c r="Q188" s="183">
        <f t="shared" ca="1" si="181"/>
        <v>10989.471990816697</v>
      </c>
      <c r="R188" s="183">
        <f t="shared" ca="1" si="182"/>
        <v>14561.701528379117</v>
      </c>
      <c r="S188" s="81"/>
      <c r="T188" s="108"/>
      <c r="U188" s="108"/>
      <c r="V188" s="108"/>
    </row>
    <row r="189" spans="1:22" s="14" customFormat="1" ht="15" customHeight="1" x14ac:dyDescent="0.15">
      <c r="A189" s="75">
        <f ca="1">IFERROR(IF(AND(MAX($A$114:A188)&gt;A188+1, MAX($A$114:A188)&gt;20),0,IF(AND(D189="",G189=""),0,IF(OR(D189&gt;LimitSignB10, G189&gt;LimitSignB11),A188+1,0))),"")</f>
        <v>0</v>
      </c>
      <c r="B189" s="76">
        <f ca="1">IFERROR(MyTime(INDEX(INDIRECT("input!"&amp;$B$112&amp;":"&amp;$B$112),FirstRowInput+Integration*COUNT($B$114:B188)) )* $B$110,"")</f>
        <v>3296.5859840000003</v>
      </c>
      <c r="C189" s="77">
        <f ca="1">IFERROR(AVERAGE(INDEX(INDIRECT("input!" &amp; $C$112 &amp; ":" &amp; $C$112),FirstRowInput+Integration*COUNT($B$114:B188)):INDEX(INDIRECT("input!" &amp; $C$112 &amp; ":" &amp; $C$112),FirstRowInput+Integration*COUNT($B$114:B188)+Integration-1))*$C$110,"")</f>
        <v>22041.62631703712</v>
      </c>
      <c r="D189" s="77">
        <f ca="1">IFERROR(AVERAGE(INDEX(INDIRECT("input!" &amp; $D$112 &amp; ":" &amp; $D$112),FirstRowInput+Integration*COUNT($B$114:B188)):INDEX(INDIRECT("input!" &amp; $D$112 &amp; ":" &amp; $D$112),FirstRowInput+Integration*COUNT($B$114:B188)+Integration-1))*$D$110,"")</f>
        <v>33843.628202463398</v>
      </c>
      <c r="E189" s="77">
        <f ca="1">IFERROR(AVERAGE(INDEX(INDIRECT("input!" &amp; $E$112 &amp; ":" &amp; $E$112),FirstRowInput+Integration*COUNT($B$114:B188)):INDEX(INDIRECT("input!" &amp; $E$112 &amp; ":" &amp; $E$112),FirstRowInput+Integration*COUNT($B$114:B188)+Integration-1))*$E$110,"")</f>
        <v>17774.114188645155</v>
      </c>
      <c r="F189" s="77">
        <f ca="1">IFERROR(AVERAGE(INDEX(INDIRECT("input!" &amp; $F$112 &amp; ":" &amp; $F$112),FirstRowInput+Integration*COUNT($B$114:B188)):INDEX(INDIRECT("input!" &amp; $F$112 &amp; ":" &amp; $F$112),FirstRowInput+Integration*COUNT($B$114:B188)+Integration-1))*$F$110,"")</f>
        <v>10198.542807221183</v>
      </c>
      <c r="G189" s="77">
        <f ca="1">IFERROR(AVERAGE(INDEX(INDIRECT("input!" &amp; $G$112 &amp; ":" &amp; $G$112),FirstRowInput+Integration*COUNT($B$114:B188)):INDEX(INDIRECT("input!" &amp; $G$112 &amp; ":" &amp; $G$112),FirstRowInput+Integration*COUNT($B$114:B188)+Integration-1))*$G$110,"")</f>
        <v>71944.137941253546</v>
      </c>
      <c r="H189" s="77">
        <f ca="1">IFERROR(AVERAGE(INDEX(INDIRECT("input!" &amp; $H$112 &amp; ":" &amp; $H$112),FirstRowInput+Integration*COUNT($B$114:B188)):INDEX(INDIRECT("input!" &amp; $H$112 &amp; ":" &amp; $H$112),FirstRowInput+Integration*COUNT($B$114:B188)+Integration-1))*$H$110,"")</f>
        <v>13165.3121119733</v>
      </c>
      <c r="I189" s="42">
        <v>77</v>
      </c>
      <c r="J189" s="74">
        <f t="shared" ca="1" si="174"/>
        <v>77</v>
      </c>
      <c r="K189" s="183">
        <f t="shared" ca="1" si="175"/>
        <v>1</v>
      </c>
      <c r="L189" s="183">
        <f t="shared" ca="1" si="176"/>
        <v>22041.62631703712</v>
      </c>
      <c r="M189" s="183">
        <f t="shared" ca="1" si="177"/>
        <v>33843.628202463398</v>
      </c>
      <c r="N189" s="183">
        <f t="shared" ca="1" si="178"/>
        <v>17774.114188645155</v>
      </c>
      <c r="O189" s="183">
        <f t="shared" ca="1" si="179"/>
        <v>17774.114188645155</v>
      </c>
      <c r="P189" s="183">
        <f t="shared" ca="1" si="180"/>
        <v>71944.137941253546</v>
      </c>
      <c r="Q189" s="183">
        <f t="shared" ca="1" si="181"/>
        <v>10198.542807221183</v>
      </c>
      <c r="R189" s="183">
        <f t="shared" ca="1" si="182"/>
        <v>13165.3121119733</v>
      </c>
      <c r="S189" s="81"/>
      <c r="T189" s="108"/>
      <c r="U189" s="108"/>
      <c r="V189" s="108"/>
    </row>
    <row r="190" spans="1:22" s="14" customFormat="1" ht="15" customHeight="1" x14ac:dyDescent="0.15">
      <c r="A190" s="75">
        <f ca="1">IFERROR(IF(AND(MAX($A$114:A189)&gt;A189+1, MAX($A$114:A189)&gt;20),0,IF(AND(D190="",G190=""),0,IF(OR(D190&gt;LimitSignB10, G190&gt;LimitSignB11),A189+1,0))),"")</f>
        <v>0</v>
      </c>
      <c r="B190" s="76">
        <f ca="1">IFERROR(MyTime(INDEX(INDIRECT("input!"&amp;$B$112&amp;":"&amp;$B$112),FirstRowInput+Integration*COUNT($B$114:B189)) )* $B$110,"")</f>
        <v>3296.6540800000002</v>
      </c>
      <c r="C190" s="77">
        <f ca="1">IFERROR(AVERAGE(INDEX(INDIRECT("input!" &amp; $C$112 &amp; ":" &amp; $C$112),FirstRowInput+Integration*COUNT($B$114:B189)):INDEX(INDIRECT("input!" &amp; $C$112 &amp; ":" &amp; $C$112),FirstRowInput+Integration*COUNT($B$114:B189)+Integration-1))*$C$110,"")</f>
        <v>17898.725423641485</v>
      </c>
      <c r="D190" s="77">
        <f ca="1">IFERROR(AVERAGE(INDEX(INDIRECT("input!" &amp; $D$112 &amp; ":" &amp; $D$112),FirstRowInput+Integration*COUNT($B$114:B189)):INDEX(INDIRECT("input!" &amp; $D$112 &amp; ":" &amp; $D$112),FirstRowInput+Integration*COUNT($B$114:B189)+Integration-1))*$D$110,"")</f>
        <v>32670.359669845999</v>
      </c>
      <c r="E190" s="77">
        <f ca="1">IFERROR(AVERAGE(INDEX(INDIRECT("input!" &amp; $E$112 &amp; ":" &amp; $E$112),FirstRowInput+Integration*COUNT($B$114:B189)):INDEX(INDIRECT("input!" &amp; $E$112 &amp; ":" &amp; $E$112),FirstRowInput+Integration*COUNT($B$114:B189)+Integration-1))*$E$110,"")</f>
        <v>18967.117703143398</v>
      </c>
      <c r="F190" s="77">
        <f ca="1">IFERROR(AVERAGE(INDEX(INDIRECT("input!" &amp; $F$112 &amp; ":" &amp; $F$112),FirstRowInput+Integration*COUNT($B$114:B189)):INDEX(INDIRECT("input!" &amp; $F$112 &amp; ":" &amp; $F$112),FirstRowInput+Integration*COUNT($B$114:B189)+Integration-1))*$F$110,"")</f>
        <v>9765.606173272934</v>
      </c>
      <c r="G190" s="77">
        <f ca="1">IFERROR(AVERAGE(INDEX(INDIRECT("input!" &amp; $G$112 &amp; ":" &amp; $G$112),FirstRowInput+Integration*COUNT($B$114:B189)):INDEX(INDIRECT("input!" &amp; $G$112 &amp; ":" &amp; $G$112),FirstRowInput+Integration*COUNT($B$114:B189)+Integration-1))*$G$110,"")</f>
        <v>73002.154224833808</v>
      </c>
      <c r="H190" s="77">
        <f ca="1">IFERROR(AVERAGE(INDEX(INDIRECT("input!" &amp; $H$112 &amp; ":" &amp; $H$112),FirstRowInput+Integration*COUNT($B$114:B189)):INDEX(INDIRECT("input!" &amp; $H$112 &amp; ":" &amp; $H$112),FirstRowInput+Integration*COUNT($B$114:B189)+Integration-1))*$H$110,"")</f>
        <v>12828.041221525733</v>
      </c>
      <c r="I190" s="42">
        <v>78</v>
      </c>
      <c r="J190" s="74">
        <f t="shared" ca="1" si="174"/>
        <v>78</v>
      </c>
      <c r="K190" s="183">
        <f t="shared" ca="1" si="175"/>
        <v>1</v>
      </c>
      <c r="L190" s="183">
        <f t="shared" ca="1" si="176"/>
        <v>17898.725423641485</v>
      </c>
      <c r="M190" s="183">
        <f t="shared" ca="1" si="177"/>
        <v>32670.359669845999</v>
      </c>
      <c r="N190" s="183">
        <f t="shared" ca="1" si="178"/>
        <v>18967.117703143398</v>
      </c>
      <c r="O190" s="183">
        <f t="shared" ca="1" si="179"/>
        <v>18967.117703143398</v>
      </c>
      <c r="P190" s="183">
        <f t="shared" ca="1" si="180"/>
        <v>73002.154224833808</v>
      </c>
      <c r="Q190" s="183">
        <f t="shared" ca="1" si="181"/>
        <v>9765.606173272934</v>
      </c>
      <c r="R190" s="183">
        <f t="shared" ca="1" si="182"/>
        <v>12828.041221525733</v>
      </c>
      <c r="S190" s="81"/>
      <c r="T190" s="108"/>
      <c r="U190" s="108"/>
      <c r="V190" s="108"/>
    </row>
    <row r="191" spans="1:22" s="14" customFormat="1" ht="15" customHeight="1" x14ac:dyDescent="0.15">
      <c r="A191" s="75">
        <f ca="1">IFERROR(IF(AND(MAX($A$114:A190)&gt;A190+1, MAX($A$114:A190)&gt;20),0,IF(AND(D191="",G191=""),0,IF(OR(D191&gt;LimitSignB10, G191&gt;LimitSignB11),A190+1,0))),"")</f>
        <v>0</v>
      </c>
      <c r="B191" s="76">
        <f ca="1">IFERROR(MyTime(INDEX(INDIRECT("input!"&amp;$B$112&amp;":"&amp;$B$112),FirstRowInput+Integration*COUNT($B$114:B190)) )* $B$110,"")</f>
        <v>3296.722432</v>
      </c>
      <c r="C191" s="77">
        <f ca="1">IFERROR(AVERAGE(INDEX(INDIRECT("input!" &amp; $C$112 &amp; ":" &amp; $C$112),FirstRowInput+Integration*COUNT($B$114:B190)):INDEX(INDIRECT("input!" &amp; $C$112 &amp; ":" &amp; $C$112),FirstRowInput+Integration*COUNT($B$114:B190)+Integration-1))*$C$110,"")</f>
        <v>20012.497314512413</v>
      </c>
      <c r="D191" s="77">
        <f ca="1">IFERROR(AVERAGE(INDEX(INDIRECT("input!" &amp; $D$112 &amp; ":" &amp; $D$112),FirstRowInput+Integration*COUNT($B$114:B190)):INDEX(INDIRECT("input!" &amp; $D$112 &amp; ":" &amp; $D$112),FirstRowInput+Integration*COUNT($B$114:B190)+Integration-1))*$D$110,"")</f>
        <v>34963.116454435723</v>
      </c>
      <c r="E191" s="77">
        <f ca="1">IFERROR(AVERAGE(INDEX(INDIRECT("input!" &amp; $E$112 &amp; ":" &amp; $E$112),FirstRowInput+Integration*COUNT($B$114:B190)):INDEX(INDIRECT("input!" &amp; $E$112 &amp; ":" &amp; $E$112),FirstRowInput+Integration*COUNT($B$114:B190)+Integration-1))*$E$110,"")</f>
        <v>18462.119120961048</v>
      </c>
      <c r="F191" s="77">
        <f ca="1">IFERROR(AVERAGE(INDEX(INDIRECT("input!" &amp; $F$112 &amp; ":" &amp; $F$112),FirstRowInput+Integration*COUNT($B$114:B190)):INDEX(INDIRECT("input!" &amp; $F$112 &amp; ":" &amp; $F$112),FirstRowInput+Integration*COUNT($B$114:B190)+Integration-1))*$F$110,"")</f>
        <v>12199.991539147713</v>
      </c>
      <c r="G191" s="77">
        <f ca="1">IFERROR(AVERAGE(INDEX(INDIRECT("input!" &amp; $G$112 &amp; ":" &amp; $G$112),FirstRowInput+Integration*COUNT($B$114:B190)):INDEX(INDIRECT("input!" &amp; $G$112 &amp; ":" &amp; $G$112),FirstRowInput+Integration*COUNT($B$114:B190)+Integration-1))*$G$110,"")</f>
        <v>70619.831816634047</v>
      </c>
      <c r="H191" s="77">
        <f ca="1">IFERROR(AVERAGE(INDEX(INDIRECT("input!" &amp; $H$112 &amp; ":" &amp; $H$112),FirstRowInput+Integration*COUNT($B$114:B190)):INDEX(INDIRECT("input!" &amp; $H$112 &amp; ":" &amp; $H$112),FirstRowInput+Integration*COUNT($B$114:B190)+Integration-1))*$H$110,"")</f>
        <v>21024.973173824877</v>
      </c>
      <c r="I191" s="42">
        <v>79</v>
      </c>
      <c r="J191" s="74">
        <f t="shared" ca="1" si="174"/>
        <v>79</v>
      </c>
      <c r="K191" s="183">
        <f t="shared" ca="1" si="175"/>
        <v>1</v>
      </c>
      <c r="L191" s="183">
        <f t="shared" ca="1" si="176"/>
        <v>20012.497314512413</v>
      </c>
      <c r="M191" s="183">
        <f t="shared" ca="1" si="177"/>
        <v>34963.116454435723</v>
      </c>
      <c r="N191" s="183">
        <f t="shared" ca="1" si="178"/>
        <v>18462.119120961048</v>
      </c>
      <c r="O191" s="183">
        <f t="shared" ca="1" si="179"/>
        <v>18462.119120961048</v>
      </c>
      <c r="P191" s="183">
        <f t="shared" ca="1" si="180"/>
        <v>70619.831816634047</v>
      </c>
      <c r="Q191" s="183">
        <f t="shared" ca="1" si="181"/>
        <v>12199.991539147713</v>
      </c>
      <c r="R191" s="183">
        <f t="shared" ca="1" si="182"/>
        <v>21024.973173824877</v>
      </c>
      <c r="S191" s="81"/>
      <c r="T191" s="108"/>
      <c r="U191" s="108"/>
      <c r="V191" s="108"/>
    </row>
    <row r="192" spans="1:22" s="14" customFormat="1" ht="15" customHeight="1" x14ac:dyDescent="0.15">
      <c r="A192" s="75">
        <f ca="1">IFERROR(IF(AND(MAX($A$114:A191)&gt;A191+1, MAX($A$114:A191)&gt;20),0,IF(AND(D192="",G192=""),0,IF(OR(D192&gt;LimitSignB10, G192&gt;LimitSignB11),A191+1,0))),"")</f>
        <v>0</v>
      </c>
      <c r="B192" s="76">
        <f ca="1">IFERROR(MyTime(INDEX(INDIRECT("input!"&amp;$B$112&amp;":"&amp;$B$112),FirstRowInput+Integration*COUNT($B$114:B191)) )* $B$110,"")</f>
        <v>3296.790528</v>
      </c>
      <c r="C192" s="77">
        <f ca="1">IFERROR(AVERAGE(INDEX(INDIRECT("input!" &amp; $C$112 &amp; ":" &amp; $C$112),FirstRowInput+Integration*COUNT($B$114:B191)):INDEX(INDIRECT("input!" &amp; $C$112 &amp; ":" &amp; $C$112),FirstRowInput+Integration*COUNT($B$114:B191)+Integration-1))*$C$110,"")</f>
        <v>20469.757015106257</v>
      </c>
      <c r="D192" s="77">
        <f ca="1">IFERROR(AVERAGE(INDEX(INDIRECT("input!" &amp; $D$112 &amp; ":" &amp; $D$112),FirstRowInput+Integration*COUNT($B$114:B191)):INDEX(INDIRECT("input!" &amp; $D$112 &amp; ":" &amp; $D$112),FirstRowInput+Integration*COUNT($B$114:B191)+Integration-1))*$D$110,"")</f>
        <v>35436.604316465098</v>
      </c>
      <c r="E192" s="77">
        <f ca="1">IFERROR(AVERAGE(INDEX(INDIRECT("input!" &amp; $E$112 &amp; ":" &amp; $E$112),FirstRowInput+Integration*COUNT($B$114:B191)):INDEX(INDIRECT("input!" &amp; $E$112 &amp; ":" &amp; $E$112),FirstRowInput+Integration*COUNT($B$114:B191)+Integration-1))*$E$110,"")</f>
        <v>21148.017064654396</v>
      </c>
      <c r="F192" s="77">
        <f ca="1">IFERROR(AVERAGE(INDEX(INDIRECT("input!" &amp; $F$112 &amp; ":" &amp; $F$112),FirstRowInput+Integration*COUNT($B$114:B191)):INDEX(INDIRECT("input!" &amp; $F$112 &amp; ":" &amp; $F$112),FirstRowInput+Integration*COUNT($B$114:B191)+Integration-1))*$F$110,"")</f>
        <v>19833.749274645445</v>
      </c>
      <c r="G192" s="77">
        <f ca="1">IFERROR(AVERAGE(INDEX(INDIRECT("input!" &amp; $G$112 &amp; ":" &amp; $G$112),FirstRowInput+Integration*COUNT($B$114:B191)):INDEX(INDIRECT("input!" &amp; $G$112 &amp; ":" &amp; $G$112),FirstRowInput+Integration*COUNT($B$114:B191)+Integration-1))*$G$110,"")</f>
        <v>68842.225442668074</v>
      </c>
      <c r="H192" s="77">
        <f ca="1">IFERROR(AVERAGE(INDEX(INDIRECT("input!" &amp; $H$112 &amp; ":" &amp; $H$112),FirstRowInput+Integration*COUNT($B$114:B191)):INDEX(INDIRECT("input!" &amp; $H$112 &amp; ":" &amp; $H$112),FirstRowInput+Integration*COUNT($B$114:B191)+Integration-1))*$H$110,"")</f>
        <v>3723.8434779623126</v>
      </c>
      <c r="I192" s="42">
        <v>80</v>
      </c>
      <c r="J192" s="74">
        <f t="shared" ca="1" si="174"/>
        <v>80</v>
      </c>
      <c r="K192" s="183">
        <f t="shared" ca="1" si="175"/>
        <v>1</v>
      </c>
      <c r="L192" s="183">
        <f t="shared" ca="1" si="176"/>
        <v>20469.757015106257</v>
      </c>
      <c r="M192" s="183">
        <f t="shared" ca="1" si="177"/>
        <v>35436.604316465098</v>
      </c>
      <c r="N192" s="183">
        <f t="shared" ca="1" si="178"/>
        <v>21148.017064654396</v>
      </c>
      <c r="O192" s="183">
        <f t="shared" ca="1" si="179"/>
        <v>21148.017064654396</v>
      </c>
      <c r="P192" s="183">
        <f t="shared" ca="1" si="180"/>
        <v>68842.225442668074</v>
      </c>
      <c r="Q192" s="183">
        <f t="shared" ca="1" si="181"/>
        <v>19833.749274645445</v>
      </c>
      <c r="R192" s="183">
        <f t="shared" ca="1" si="182"/>
        <v>3723.8434779623126</v>
      </c>
      <c r="S192" s="81"/>
      <c r="T192" s="108"/>
      <c r="U192" s="108"/>
      <c r="V192" s="108"/>
    </row>
    <row r="193" spans="1:22" s="14" customFormat="1" ht="15" customHeight="1" x14ac:dyDescent="0.15">
      <c r="A193" s="75">
        <f ca="1">IFERROR(IF(AND(MAX($A$114:A192)&gt;A192+1, MAX($A$114:A192)&gt;20),0,IF(AND(D193="",G193=""),0,IF(OR(D193&gt;LimitSignB10, G193&gt;LimitSignB11),A192+1,0))),"")</f>
        <v>0</v>
      </c>
      <c r="B193" s="76">
        <f ca="1">IFERROR(MyTime(INDEX(INDIRECT("input!"&amp;$B$112&amp;":"&amp;$B$112),FirstRowInput+Integration*COUNT($B$114:B192)) )* $B$110,"")</f>
        <v>3296.858624</v>
      </c>
      <c r="C193" s="77">
        <f ca="1">IFERROR(AVERAGE(INDEX(INDIRECT("input!" &amp; $C$112 &amp; ":" &amp; $C$112),FirstRowInput+Integration*COUNT($B$114:B192)):INDEX(INDIRECT("input!" &amp; $C$112 &amp; ":" &amp; $C$112),FirstRowInput+Integration*COUNT($B$114:B192)+Integration-1))*$C$110,"")</f>
        <v>20072.073107243727</v>
      </c>
      <c r="D193" s="77">
        <f ca="1">IFERROR(AVERAGE(INDEX(INDIRECT("input!" &amp; $D$112 &amp; ":" &amp; $D$112),FirstRowInput+Integration*COUNT($B$114:B192)):INDEX(INDIRECT("input!" &amp; $D$112 &amp; ":" &amp; $D$112),FirstRowInput+Integration*COUNT($B$114:B192)+Integration-1))*$D$110,"")</f>
        <v>33340.445162274118</v>
      </c>
      <c r="E193" s="77">
        <f ca="1">IFERROR(AVERAGE(INDEX(INDIRECT("input!" &amp; $E$112 &amp; ":" &amp; $E$112),FirstRowInput+Integration*COUNT($B$114:B192)):INDEX(INDIRECT("input!" &amp; $E$112 &amp; ":" &amp; $E$112),FirstRowInput+Integration*COUNT($B$114:B192)+Integration-1))*$E$110,"")</f>
        <v>17991.068809460136</v>
      </c>
      <c r="F193" s="77">
        <f ca="1">IFERROR(AVERAGE(INDEX(INDIRECT("input!" &amp; $F$112 &amp; ":" &amp; $F$112),FirstRowInput+Integration*COUNT($B$114:B192)):INDEX(INDIRECT("input!" &amp; $F$112 &amp; ":" &amp; $F$112),FirstRowInput+Integration*COUNT($B$114:B192)+Integration-1))*$F$110,"")</f>
        <v>7640.8367367581814</v>
      </c>
      <c r="G193" s="77">
        <f ca="1">IFERROR(AVERAGE(INDEX(INDIRECT("input!" &amp; $G$112 &amp; ":" &amp; $G$112),FirstRowInput+Integration*COUNT($B$114:B192)):INDEX(INDIRECT("input!" &amp; $G$112 &amp; ":" &amp; $G$112),FirstRowInput+Integration*COUNT($B$114:B192)+Integration-1))*$G$110,"")</f>
        <v>69271.934015103456</v>
      </c>
      <c r="H193" s="77">
        <f ca="1">IFERROR(AVERAGE(INDEX(INDIRECT("input!" &amp; $H$112 &amp; ":" &amp; $H$112),FirstRowInput+Integration*COUNT($B$114:B192)):INDEX(INDIRECT("input!" &amp; $H$112 &amp; ":" &amp; $H$112),FirstRowInput+Integration*COUNT($B$114:B192)+Integration-1))*$H$110,"")</f>
        <v>12733.640797369191</v>
      </c>
      <c r="I193" s="42">
        <v>81</v>
      </c>
      <c r="J193" s="74">
        <f t="shared" ref="J193:J196" ca="1" si="183">IF(K193=1,I193,"")</f>
        <v>81</v>
      </c>
      <c r="K193" s="183">
        <f t="shared" ref="K193:K196" ca="1" si="184">IFERROR(IF(OR(D193&gt;$M$111,G193&gt;$P$111,MAX(A193:A207)&gt;=15),"",1),"")</f>
        <v>1</v>
      </c>
      <c r="L193" s="183">
        <f t="shared" ref="L193:L196" ca="1" si="185">IFERROR(IF($K193=1,C193,""),"")</f>
        <v>20072.073107243727</v>
      </c>
      <c r="M193" s="183">
        <f t="shared" ref="M193:M196" ca="1" si="186">IFERROR(IF($K193=1,D193,""),"")</f>
        <v>33340.445162274118</v>
      </c>
      <c r="N193" s="183">
        <f t="shared" ref="N193:N196" ca="1" si="187">IFERROR(IF($K193=1,E193,""),"")</f>
        <v>17991.068809460136</v>
      </c>
      <c r="O193" s="183">
        <f t="shared" ref="O193:O196" ca="1" si="188">IFERROR(IF($K193=1,E193,""),"")</f>
        <v>17991.068809460136</v>
      </c>
      <c r="P193" s="183">
        <f t="shared" ref="P193:P196" ca="1" si="189">IFERROR(IF($K193=1,G193,""),"")</f>
        <v>69271.934015103456</v>
      </c>
      <c r="Q193" s="183">
        <f t="shared" ref="Q193:Q196" ca="1" si="190">IFERROR(IF($K193=1,F193,""),"")</f>
        <v>7640.8367367581814</v>
      </c>
      <c r="R193" s="183">
        <f t="shared" ref="R193:R196" ca="1" si="191">IFERROR(IF($K193=1,H193,""),"")</f>
        <v>12733.640797369191</v>
      </c>
      <c r="S193" s="81"/>
      <c r="T193" s="108"/>
      <c r="U193" s="108"/>
      <c r="V193" s="108"/>
    </row>
    <row r="194" spans="1:22" s="14" customFormat="1" ht="15" customHeight="1" x14ac:dyDescent="0.15">
      <c r="A194" s="75">
        <f ca="1">IFERROR(IF(AND(MAX($A$114:A193)&gt;A193+1, MAX($A$114:A193)&gt;20),0,IF(AND(D194="",G194=""),0,IF(OR(D194&gt;LimitSignB10, G194&gt;LimitSignB11),A193+1,0))),"")</f>
        <v>0</v>
      </c>
      <c r="B194" s="76">
        <f ca="1">IFERROR(MyTime(INDEX(INDIRECT("input!"&amp;$B$112&amp;":"&amp;$B$112),FirstRowInput+Integration*COUNT($B$114:B193)) )* $B$110,"")</f>
        <v>3296.9267200000004</v>
      </c>
      <c r="C194" s="77">
        <f ca="1">IFERROR(AVERAGE(INDEX(INDIRECT("input!" &amp; $C$112 &amp; ":" &amp; $C$112),FirstRowInput+Integration*COUNT($B$114:B193)):INDEX(INDIRECT("input!" &amp; $C$112 &amp; ":" &amp; $C$112),FirstRowInput+Integration*COUNT($B$114:B193)+Integration-1))*$C$110,"")</f>
        <v>18133.914682795144</v>
      </c>
      <c r="D194" s="77">
        <f ca="1">IFERROR(AVERAGE(INDEX(INDIRECT("input!" &amp; $D$112 &amp; ":" &amp; $D$112),FirstRowInput+Integration*COUNT($B$114:B193)):INDEX(INDIRECT("input!" &amp; $D$112 &amp; ":" &amp; $D$112),FirstRowInput+Integration*COUNT($B$114:B193)+Integration-1))*$D$110,"")</f>
        <v>57579.750864475507</v>
      </c>
      <c r="E194" s="77">
        <f ca="1">IFERROR(AVERAGE(INDEX(INDIRECT("input!" &amp; $E$112 &amp; ":" &amp; $E$112),FirstRowInput+Integration*COUNT($B$114:B193)):INDEX(INDIRECT("input!" &amp; $E$112 &amp; ":" &amp; $E$112),FirstRowInput+Integration*COUNT($B$114:B193)+Integration-1))*$E$110,"")</f>
        <v>19022.019037538776</v>
      </c>
      <c r="F194" s="77">
        <f ca="1">IFERROR(AVERAGE(INDEX(INDIRECT("input!" &amp; $F$112 &amp; ":" &amp; $F$112),FirstRowInput+Integration*COUNT($B$114:B193)):INDEX(INDIRECT("input!" &amp; $F$112 &amp; ":" &amp; $F$112),FirstRowInput+Integration*COUNT($B$114:B193)+Integration-1))*$F$110,"")</f>
        <v>10325.020667509641</v>
      </c>
      <c r="G194" s="77">
        <f ca="1">IFERROR(AVERAGE(INDEX(INDIRECT("input!" &amp; $G$112 &amp; ":" &amp; $G$112),FirstRowInput+Integration*COUNT($B$114:B193)):INDEX(INDIRECT("input!" &amp; $G$112 &amp; ":" &amp; $G$112),FirstRowInput+Integration*COUNT($B$114:B193)+Integration-1))*$G$110,"")</f>
        <v>180791.5451800586</v>
      </c>
      <c r="H194" s="77">
        <f ca="1">IFERROR(AVERAGE(INDEX(INDIRECT("input!" &amp; $H$112 &amp; ":" &amp; $H$112),FirstRowInput+Integration*COUNT($B$114:B193)):INDEX(INDIRECT("input!" &amp; $H$112 &amp; ":" &amp; $H$112),FirstRowInput+Integration*COUNT($B$114:B193)+Integration-1))*$H$110,"")</f>
        <v>10484.085134031975</v>
      </c>
      <c r="I194" s="42">
        <v>82</v>
      </c>
      <c r="J194" s="74">
        <f t="shared" ca="1" si="183"/>
        <v>82</v>
      </c>
      <c r="K194" s="183">
        <f t="shared" ca="1" si="184"/>
        <v>1</v>
      </c>
      <c r="L194" s="183">
        <f t="shared" ca="1" si="185"/>
        <v>18133.914682795144</v>
      </c>
      <c r="M194" s="183">
        <f t="shared" ca="1" si="186"/>
        <v>57579.750864475507</v>
      </c>
      <c r="N194" s="183">
        <f t="shared" ca="1" si="187"/>
        <v>19022.019037538776</v>
      </c>
      <c r="O194" s="183">
        <f t="shared" ca="1" si="188"/>
        <v>19022.019037538776</v>
      </c>
      <c r="P194" s="183">
        <f t="shared" ca="1" si="189"/>
        <v>180791.5451800586</v>
      </c>
      <c r="Q194" s="183">
        <f t="shared" ca="1" si="190"/>
        <v>10325.020667509641</v>
      </c>
      <c r="R194" s="183">
        <f t="shared" ca="1" si="191"/>
        <v>10484.085134031975</v>
      </c>
      <c r="S194" s="81">
        <f t="shared" ref="S194:S251" ca="1" si="192">AVERAGE(U194:V194)</f>
        <v>1514.0104854668971</v>
      </c>
      <c r="T194" s="108">
        <f t="shared" ref="T194:T249" ca="1" si="193">AVERAGE(E194:E195)-$O$309</f>
        <v>1941.020743781628</v>
      </c>
      <c r="U194" s="108">
        <f t="shared" ref="U194:U249" ca="1" si="194">AVERAGE(F194:F196)-$Q$309</f>
        <v>-1676.5527852695413</v>
      </c>
      <c r="V194" s="108">
        <f t="shared" ref="V194:V249" ca="1" si="195">AVERAGE(H194:H196)-$R$309</f>
        <v>4704.5737562033355</v>
      </c>
    </row>
    <row r="195" spans="1:22" s="14" customFormat="1" ht="15" customHeight="1" x14ac:dyDescent="0.15">
      <c r="A195" s="75">
        <f ca="1">IFERROR(IF(AND(MAX($A$114:A194)&gt;A194+1, MAX($A$114:A194)&gt;20),0,IF(AND(D195="",G195=""),0,IF(OR(D195&gt;LimitSignB10, G195&gt;LimitSignB11),A194+1,0))),"")</f>
        <v>1</v>
      </c>
      <c r="B195" s="76">
        <f ca="1">IFERROR(MyTime(INDEX(INDIRECT("input!"&amp;$B$112&amp;":"&amp;$B$112),FirstRowInput+Integration*COUNT($B$114:B194)) )* $B$110,"")</f>
        <v>3296.9945600000001</v>
      </c>
      <c r="C195" s="77">
        <f ca="1">IFERROR(AVERAGE(INDEX(INDIRECT("input!" &amp; $C$112 &amp; ":" &amp; $C$112),FirstRowInput+Integration*COUNT($B$114:B194)):INDEX(INDIRECT("input!" &amp; $C$112 &amp; ":" &amp; $C$112),FirstRowInput+Integration*COUNT($B$114:B194)+Integration-1))*$C$110,"")</f>
        <v>20486.002793041531</v>
      </c>
      <c r="D195" s="77">
        <f ca="1">IFERROR(AVERAGE(INDEX(INDIRECT("input!" &amp; $D$112 &amp; ":" &amp; $D$112),FirstRowInput+Integration*COUNT($B$114:B194)):INDEX(INDIRECT("input!" &amp; $D$112 &amp; ":" &amp; $D$112),FirstRowInput+Integration*COUNT($B$114:B194)+Integration-1))*$D$110,"")</f>
        <v>224614.1954631276</v>
      </c>
      <c r="E195" s="77">
        <f ca="1">IFERROR(AVERAGE(INDEX(INDIRECT("input!" &amp; $E$112 &amp; ":" &amp; $E$112),FirstRowInput+Integration*COUNT($B$114:B194)):INDEX(INDIRECT("input!" &amp; $E$112 &amp; ":" &amp; $E$112),FirstRowInput+Integration*COUNT($B$114:B194)+Integration-1))*$E$110,"")</f>
        <v>21276.16714087232</v>
      </c>
      <c r="F195" s="77">
        <f ca="1">IFERROR(AVERAGE(INDEX(INDIRECT("input!" &amp; $F$112 &amp; ":" &amp; $F$112),FirstRowInput+Integration*COUNT($B$114:B194)):INDEX(INDIRECT("input!" &amp; $F$112 &amp; ":" &amp; $F$112),FirstRowInput+Integration*COUNT($B$114:B194)+Integration-1))*$F$110,"")</f>
        <v>5995.7521211596259</v>
      </c>
      <c r="G195" s="77">
        <f ca="1">IFERROR(AVERAGE(INDEX(INDIRECT("input!" &amp; $G$112 &amp; ":" &amp; $G$112),FirstRowInput+Integration*COUNT($B$114:B194)):INDEX(INDIRECT("input!" &amp; $G$112 &amp; ":" &amp; $G$112),FirstRowInput+Integration*COUNT($B$114:B194)+Integration-1))*$G$110,"")</f>
        <v>938014.64671148825</v>
      </c>
      <c r="H195" s="77">
        <f ca="1">IFERROR(AVERAGE(INDEX(INDIRECT("input!" &amp; $H$112 &amp; ":" &amp; $H$112),FirstRowInput+Integration*COUNT($B$114:B194)):INDEX(INDIRECT("input!" &amp; $H$112 &amp; ":" &amp; $H$112),FirstRowInput+Integration*COUNT($B$114:B194)+Integration-1))*$H$110,"")</f>
        <v>18384.291620346103</v>
      </c>
      <c r="I195" s="42">
        <v>83</v>
      </c>
      <c r="J195" s="74" t="str">
        <f t="shared" ca="1" si="183"/>
        <v/>
      </c>
      <c r="K195" s="183" t="str">
        <f t="shared" ca="1" si="184"/>
        <v/>
      </c>
      <c r="L195" s="183" t="str">
        <f t="shared" ca="1" si="185"/>
        <v/>
      </c>
      <c r="M195" s="183" t="str">
        <f t="shared" ca="1" si="186"/>
        <v/>
      </c>
      <c r="N195" s="183" t="str">
        <f t="shared" ca="1" si="187"/>
        <v/>
      </c>
      <c r="O195" s="183" t="str">
        <f t="shared" ca="1" si="188"/>
        <v/>
      </c>
      <c r="P195" s="183" t="str">
        <f t="shared" ca="1" si="189"/>
        <v/>
      </c>
      <c r="Q195" s="183" t="str">
        <f t="shared" ca="1" si="190"/>
        <v/>
      </c>
      <c r="R195" s="183" t="str">
        <f t="shared" ca="1" si="191"/>
        <v/>
      </c>
      <c r="S195" s="81">
        <f t="shared" ca="1" si="192"/>
        <v>1349.5426592807025</v>
      </c>
      <c r="T195" s="108">
        <f t="shared" ca="1" si="193"/>
        <v>394.28404387617047</v>
      </c>
      <c r="U195" s="108">
        <f t="shared" ca="1" si="194"/>
        <v>-2604.9471802062762</v>
      </c>
      <c r="V195" s="108">
        <f t="shared" ca="1" si="195"/>
        <v>5304.0324987676813</v>
      </c>
    </row>
    <row r="196" spans="1:22" s="14" customFormat="1" ht="15" customHeight="1" x14ac:dyDescent="0.15">
      <c r="A196" s="75">
        <f ca="1">IFERROR(IF(AND(MAX($A$114:A195)&gt;A195+1, MAX($A$114:A195)&gt;20),0,IF(AND(D196="",G196=""),0,IF(OR(D196&gt;LimitSignB10, G196&gt;LimitSignB11),A195+1,0))),"")</f>
        <v>2</v>
      </c>
      <c r="B196" s="76">
        <f ca="1">IFERROR(MyTime(INDEX(INDIRECT("input!"&amp;$B$112&amp;":"&amp;$B$112),FirstRowInput+Integration*COUNT($B$114:B195)) )* $B$110,"")</f>
        <v>3297.0626560000001</v>
      </c>
      <c r="C196" s="77">
        <f ca="1">IFERROR(AVERAGE(INDEX(INDIRECT("input!" &amp; $C$112 &amp; ":" &amp; $C$112),FirstRowInput+Integration*COUNT($B$114:B195)):INDEX(INDIRECT("input!" &amp; $C$112 &amp; ":" &amp; $C$112),FirstRowInput+Integration*COUNT($B$114:B195)+Integration-1))*$C$110,"")</f>
        <v>21178.067672225752</v>
      </c>
      <c r="D196" s="77">
        <f ca="1">IFERROR(AVERAGE(INDEX(INDIRECT("input!" &amp; $D$112 &amp; ":" &amp; $D$112),FirstRowInput+Integration*COUNT($B$114:B195)):INDEX(INDIRECT("input!" &amp; $D$112 &amp; ":" &amp; $D$112),FirstRowInput+Integration*COUNT($B$114:B195)+Integration-1))*$D$110,"")</f>
        <v>610896.60400422197</v>
      </c>
      <c r="E196" s="77">
        <f ca="1">IFERROR(AVERAGE(INDEX(INDIRECT("input!" &amp; $E$112 &amp; ":" &amp; $E$112),FirstRowInput+Integration*COUNT($B$114:B195)):INDEX(INDIRECT("input!" &amp; $E$112 &amp; ":" &amp; $E$112),FirstRowInput+Integration*COUNT($B$114:B195)+Integration-1))*$E$110,"")</f>
        <v>15928.545637727862</v>
      </c>
      <c r="F196" s="77">
        <f ca="1">IFERROR(AVERAGE(INDEX(INDIRECT("input!" &amp; $F$112 &amp; ":" &amp; $F$112),FirstRowInput+Integration*COUNT($B$114:B195)):INDEX(INDIRECT("input!" &amp; $F$112 &amp; ":" &amp; $F$112),FirstRowInput+Integration*COUNT($B$114:B195)+Integration-1))*$F$110,"")</f>
        <v>10822.963749765086</v>
      </c>
      <c r="G196" s="77">
        <f ca="1">IFERROR(AVERAGE(INDEX(INDIRECT("input!" &amp; $G$112 &amp; ":" &amp; $G$112),FirstRowInput+Integration*COUNT($B$114:B195)):INDEX(INDIRECT("input!" &amp; $G$112 &amp; ":" &amp; $G$112),FirstRowInput+Integration*COUNT($B$114:B195)+Integration-1))*$G$110,"")</f>
        <v>2699945.4367451095</v>
      </c>
      <c r="H196" s="77">
        <f ca="1">IFERROR(AVERAGE(INDEX(INDIRECT("input!" &amp; $H$112 &amp; ":" &amp; $H$112),FirstRowInput+Integration*COUNT($B$114:B195)):INDEX(INDIRECT("input!" &amp; $H$112 &amp; ":" &amp; $H$112),FirstRowInput+Integration*COUNT($B$114:B195)+Integration-1))*$H$110,"")</f>
        <v>18441.072401630485</v>
      </c>
      <c r="I196" s="42">
        <v>84</v>
      </c>
      <c r="J196" s="74" t="str">
        <f t="shared" ca="1" si="183"/>
        <v/>
      </c>
      <c r="K196" s="183" t="str">
        <f t="shared" ca="1" si="184"/>
        <v/>
      </c>
      <c r="L196" s="183" t="str">
        <f t="shared" ca="1" si="185"/>
        <v/>
      </c>
      <c r="M196" s="183" t="str">
        <f t="shared" ca="1" si="186"/>
        <v/>
      </c>
      <c r="N196" s="183" t="str">
        <f t="shared" ca="1" si="187"/>
        <v/>
      </c>
      <c r="O196" s="183" t="str">
        <f t="shared" ca="1" si="188"/>
        <v/>
      </c>
      <c r="P196" s="183" t="str">
        <f t="shared" ca="1" si="189"/>
        <v/>
      </c>
      <c r="Q196" s="183" t="str">
        <f t="shared" ca="1" si="190"/>
        <v/>
      </c>
      <c r="R196" s="183" t="str">
        <f t="shared" ca="1" si="191"/>
        <v/>
      </c>
      <c r="S196" s="81">
        <f t="shared" ca="1" si="192"/>
        <v>1046.486650629151</v>
      </c>
      <c r="T196" s="108">
        <f t="shared" ca="1" si="193"/>
        <v>-2116.264039753898</v>
      </c>
      <c r="U196" s="108">
        <f t="shared" ca="1" si="194"/>
        <v>668.17767288195682</v>
      </c>
      <c r="V196" s="108">
        <f t="shared" ca="1" si="195"/>
        <v>1424.7956283763451</v>
      </c>
    </row>
    <row r="197" spans="1:22" s="14" customFormat="1" ht="15" customHeight="1" x14ac:dyDescent="0.15">
      <c r="A197" s="75">
        <f ca="1">IFERROR(IF(AND(MAX($A$114:A196)&gt;A196+1, MAX($A$114:A196)&gt;20),0,IF(AND(D197="",G197=""),0,IF(OR(D197&gt;LimitSignB10, G197&gt;LimitSignB11),A196+1,0))),"")</f>
        <v>3</v>
      </c>
      <c r="B197" s="76">
        <f ca="1">IFERROR(MyTime(INDEX(INDIRECT("input!"&amp;$B$112&amp;":"&amp;$B$112),FirstRowInput+Integration*COUNT($B$114:B196)) )* $B$110,"")</f>
        <v>3297.130752</v>
      </c>
      <c r="C197" s="77">
        <f ca="1">IFERROR(AVERAGE(INDEX(INDIRECT("input!" &amp; $C$112 &amp; ":" &amp; $C$112),FirstRowInput+Integration*COUNT($B$114:B196)):INDEX(INDIRECT("input!" &amp; $C$112 &amp; ":" &amp; $C$112),FirstRowInput+Integration*COUNT($B$114:B196)+Integration-1))*$C$110,"")</f>
        <v>17782.893544954761</v>
      </c>
      <c r="D197" s="77">
        <f ca="1">IFERROR(AVERAGE(INDEX(INDIRECT("input!" &amp; $D$112 &amp; ":" &amp; $D$112),FirstRowInput+Integration*COUNT($B$114:B196)):INDEX(INDIRECT("input!" &amp; $D$112 &amp; ":" &amp; $D$112),FirstRowInput+Integration*COUNT($B$114:B196)+Integration-1))*$D$110,"")</f>
        <v>1020636.3417955785</v>
      </c>
      <c r="E197" s="77">
        <f ca="1">IFERROR(AVERAGE(INDEX(INDIRECT("input!" &amp; $E$112 &amp; ":" &amp; $E$112),FirstRowInput+Integration*COUNT($B$114:B196)):INDEX(INDIRECT("input!" &amp; $E$112 &amp; ":" &amp; $E$112),FirstRowInput+Integration*COUNT($B$114:B196)+Integration-1))*$E$110,"")</f>
        <v>16255.070973612181</v>
      </c>
      <c r="F197" s="77">
        <f ca="1">IFERROR(AVERAGE(INDEX(INDIRECT("input!" &amp; $F$112 &amp; ":" &amp; $F$112),FirstRowInput+Integration*COUNT($B$114:B196)):INDEX(INDIRECT("input!" &amp; $F$112 &amp; ":" &amp; $F$112),FirstRowInput+Integration*COUNT($B$114:B196)+Integration-1))*$F$110,"")</f>
        <v>7539.8374826994341</v>
      </c>
      <c r="G197" s="77">
        <f ca="1">IFERROR(AVERAGE(INDEX(INDIRECT("input!" &amp; $G$112 &amp; ":" &amp; $G$112),FirstRowInput+Integration*COUNT($B$114:B196)):INDEX(INDIRECT("input!" &amp; $G$112 &amp; ":" &amp; $G$112),FirstRowInput+Integration*COUNT($B$114:B196)+Integration-1))*$G$110,"")</f>
        <v>4573753.4390306743</v>
      </c>
      <c r="H197" s="77">
        <f ca="1">IFERROR(AVERAGE(INDEX(INDIRECT("input!" &amp; $H$112 &amp; ":" &amp; $H$112),FirstRowInput+Integration*COUNT($B$114:B196)):INDEX(INDIRECT("input!" &amp; $H$112 &amp; ":" &amp; $H$112),FirstRowInput+Integration*COUNT($B$114:B196)+Integration-1))*$H$110,"")</f>
        <v>12282.461361725007</v>
      </c>
      <c r="I197" s="42">
        <v>85</v>
      </c>
      <c r="J197" s="74" t="str">
        <f t="shared" si="161"/>
        <v/>
      </c>
      <c r="K197" s="183"/>
      <c r="L197" s="183"/>
      <c r="M197" s="183"/>
      <c r="N197" s="183"/>
      <c r="O197" s="183" t="str">
        <f t="shared" si="170"/>
        <v/>
      </c>
      <c r="P197" s="183" t="str">
        <f t="shared" si="171"/>
        <v/>
      </c>
      <c r="Q197" s="183" t="str">
        <f t="shared" si="172"/>
        <v/>
      </c>
      <c r="R197" s="183" t="str">
        <f t="shared" si="173"/>
        <v/>
      </c>
      <c r="S197" s="81">
        <f t="shared" ca="1" si="192"/>
        <v>695.44884939107942</v>
      </c>
      <c r="T197" s="108">
        <f t="shared" ca="1" si="193"/>
        <v>-1485.5771583128371</v>
      </c>
      <c r="U197" s="108">
        <f t="shared" ca="1" si="194"/>
        <v>2393.6036751313914</v>
      </c>
      <c r="V197" s="108">
        <f t="shared" ca="1" si="195"/>
        <v>-1002.7059763492325</v>
      </c>
    </row>
    <row r="198" spans="1:22" s="14" customFormat="1" ht="15" customHeight="1" x14ac:dyDescent="0.15">
      <c r="A198" s="75">
        <f ca="1">IFERROR(IF(AND(MAX($A$114:A197)&gt;A197+1, MAX($A$114:A197)&gt;20),0,IF(AND(D198="",G198=""),0,IF(OR(D198&gt;LimitSignB10, G198&gt;LimitSignB11),A197+1,0))),"")</f>
        <v>4</v>
      </c>
      <c r="B198" s="76">
        <f ca="1">IFERROR(MyTime(INDEX(INDIRECT("input!"&amp;$B$112&amp;":"&amp;$B$112),FirstRowInput+Integration*COUNT($B$114:B197)) )* $B$110,"")</f>
        <v>3297.1988480000005</v>
      </c>
      <c r="C198" s="77">
        <f ca="1">IFERROR(AVERAGE(INDEX(INDIRECT("input!" &amp; $C$112 &amp; ":" &amp; $C$112),FirstRowInput+Integration*COUNT($B$114:B197)):INDEX(INDIRECT("input!" &amp; $C$112 &amp; ":" &amp; $C$112),FirstRowInput+Integration*COUNT($B$114:B197)+Integration-1))*$C$110,"")</f>
        <v>19469.089847349791</v>
      </c>
      <c r="D198" s="77">
        <f ca="1">IFERROR(AVERAGE(INDEX(INDIRECT("input!" &amp; $D$112 &amp; ":" &amp; $D$112),FirstRowInput+Integration*COUNT($B$114:B197)):INDEX(INDIRECT("input!" &amp; $D$112 &amp; ":" &amp; $D$112),FirstRowInput+Integration*COUNT($B$114:B197)+Integration-1))*$D$110,"")</f>
        <v>1312791.5473538549</v>
      </c>
      <c r="E198" s="77">
        <f ca="1">IFERROR(AVERAGE(INDEX(INDIRECT("input!" &amp; $E$112 &amp; ":" &amp; $E$112),FirstRowInput+Integration*COUNT($B$114:B197)):INDEX(INDIRECT("input!" &amp; $E$112 &amp; ":" &amp; $E$112),FirstRowInput+Integration*COUNT($B$114:B197)+Integration-1))*$E$110,"")</f>
        <v>17189.919400609986</v>
      </c>
      <c r="F198" s="77">
        <f ca="1">IFERROR(AVERAGE(INDEX(INDIRECT("input!" &amp; $F$112 &amp; ":" &amp; $F$112),FirstRowInput+Integration*COUNT($B$114:B197)):INDEX(INDIRECT("input!" &amp; $F$112 &amp; ":" &amp; $F$112),FirstRowInput+Integration*COUNT($B$114:B197)+Integration-1))*$F$110,"")</f>
        <v>15815.126680424324</v>
      </c>
      <c r="G198" s="77">
        <f ca="1">IFERROR(AVERAGE(INDEX(INDIRECT("input!" &amp; $G$112 &amp; ":" &amp; $G$112),FirstRowInput+Integration*COUNT($B$114:B197)):INDEX(INDIRECT("input!" &amp; $G$112 &amp; ":" &amp; $G$112),FirstRowInput+Integration*COUNT($B$114:B197)+Integration-1))*$G$110,"")</f>
        <v>5921272.4610698139</v>
      </c>
      <c r="H198" s="77">
        <f ca="1">IFERROR(AVERAGE(INDEX(INDIRECT("input!" &amp; $H$112 &amp; ":" &amp; $H$112),FirstRowInput+Integration*COUNT($B$114:B197)):INDEX(INDIRECT("input!" &amp; $H$112 &amp; ":" &amp; $H$112),FirstRowInput+Integration*COUNT($B$114:B197)+Integration-1))*$H$110,"")</f>
        <v>6746.5810091720978</v>
      </c>
      <c r="I198" s="42">
        <v>86</v>
      </c>
      <c r="J198" s="74" t="str">
        <f t="shared" si="161"/>
        <v/>
      </c>
      <c r="K198" s="183"/>
      <c r="L198" s="183"/>
      <c r="M198" s="183"/>
      <c r="N198" s="183"/>
      <c r="O198" s="183" t="str">
        <f t="shared" si="170"/>
        <v/>
      </c>
      <c r="P198" s="183" t="str">
        <f t="shared" si="171"/>
        <v/>
      </c>
      <c r="Q198" s="183" t="str">
        <f t="shared" si="172"/>
        <v/>
      </c>
      <c r="R198" s="183" t="str">
        <f t="shared" si="173"/>
        <v/>
      </c>
      <c r="S198" s="81">
        <f t="shared" ca="1" si="192"/>
        <v>725.7131332267204</v>
      </c>
      <c r="T198" s="108">
        <f t="shared" ca="1" si="193"/>
        <v>-576.10558758847765</v>
      </c>
      <c r="U198" s="108">
        <f t="shared" ca="1" si="194"/>
        <v>4897.0055413847203</v>
      </c>
      <c r="V198" s="108">
        <f t="shared" ca="1" si="195"/>
        <v>-3445.5792749312795</v>
      </c>
    </row>
    <row r="199" spans="1:22" s="14" customFormat="1" ht="15" customHeight="1" x14ac:dyDescent="0.15">
      <c r="A199" s="75">
        <f ca="1">IFERROR(IF(AND(MAX($A$114:A198)&gt;A198+1, MAX($A$114:A198)&gt;20),0,IF(AND(D199="",G199=""),0,IF(OR(D199&gt;LimitSignB10, G199&gt;LimitSignB11),A198+1,0))),"")</f>
        <v>5</v>
      </c>
      <c r="B199" s="76">
        <f ca="1">IFERROR(MyTime(INDEX(INDIRECT("input!"&amp;$B$112&amp;":"&amp;$B$112),FirstRowInput+Integration*COUNT($B$114:B198)) )* $B$110,"")</f>
        <v>3297.2669440000004</v>
      </c>
      <c r="C199" s="77">
        <f ca="1">IFERROR(AVERAGE(INDEX(INDIRECT("input!" &amp; $C$112 &amp; ":" &amp; $C$112),FirstRowInput+Integration*COUNT($B$114:B198)):INDEX(INDIRECT("input!" &amp; $C$112 &amp; ":" &amp; $C$112),FirstRowInput+Integration*COUNT($B$114:B198)+Integration-1))*$C$110,"")</f>
        <v>21068.499194374319</v>
      </c>
      <c r="D199" s="77">
        <f ca="1">IFERROR(AVERAGE(INDEX(INDIRECT("input!" &amp; $D$112 &amp; ":" &amp; $D$112),FirstRowInput+Integration*COUNT($B$114:B198)):INDEX(INDIRECT("input!" &amp; $D$112 &amp; ":" &amp; $D$112),FirstRowInput+Integration*COUNT($B$114:B198)+Integration-1))*$D$110,"")</f>
        <v>1518125.0047652582</v>
      </c>
      <c r="E199" s="77">
        <f ca="1">IFERROR(AVERAGE(INDEX(INDIRECT("input!" &amp; $E$112 &amp; ":" &amp; $E$112),FirstRowInput+Integration*COUNT($B$114:B198)):INDEX(INDIRECT("input!" &amp; $E$112 &amp; ":" &amp; $E$112),FirstRowInput+Integration*COUNT($B$114:B198)+Integration-1))*$E$110,"")</f>
        <v>18074.014115060902</v>
      </c>
      <c r="F199" s="77">
        <f ca="1">IFERROR(AVERAGE(INDEX(INDIRECT("input!" &amp; $F$112 &amp; ":" &amp; $F$112),FirstRowInput+Integration*COUNT($B$114:B198)):INDEX(INDIRECT("input!" &amp; $F$112 &amp; ":" &amp; $F$112),FirstRowInput+Integration*COUNT($B$114:B198)+Integration-1))*$F$110,"")</f>
        <v>15999.241756513391</v>
      </c>
      <c r="G199" s="77">
        <f ca="1">IFERROR(AVERAGE(INDEX(INDIRECT("input!" &amp; $G$112 &amp; ":" &amp; $G$112),FirstRowInput+Integration*COUNT($B$114:B198)):INDEX(INDIRECT("input!" &amp; $G$112 &amp; ":" &amp; $G$112),FirstRowInput+Integration*COUNT($B$114:B198)+Integration-1))*$G$110,"")</f>
        <v>6872022.8102480453</v>
      </c>
      <c r="H199" s="77">
        <f ca="1">IFERROR(AVERAGE(INDEX(INDIRECT("input!" &amp; $H$112 &amp; ":" &amp; $H$112),FirstRowInput+Integration*COUNT($B$114:B198)):INDEX(INDIRECT("input!" &amp; $H$112 &amp; ":" &amp; $H$112),FirstRowInput+Integration*COUNT($B$114:B198)+Integration-1))*$H$110,"")</f>
        <v>11158.567587453748</v>
      </c>
      <c r="I199" s="42">
        <v>87</v>
      </c>
      <c r="J199" s="74" t="str">
        <f t="shared" si="161"/>
        <v/>
      </c>
      <c r="K199" s="183"/>
      <c r="L199" s="183"/>
      <c r="M199" s="183"/>
      <c r="N199" s="183"/>
      <c r="O199" s="183" t="str">
        <f t="shared" si="170"/>
        <v/>
      </c>
      <c r="P199" s="183" t="str">
        <f t="shared" si="171"/>
        <v/>
      </c>
      <c r="Q199" s="183" t="str">
        <f t="shared" si="172"/>
        <v/>
      </c>
      <c r="R199" s="183" t="str">
        <f t="shared" si="173"/>
        <v/>
      </c>
      <c r="S199" s="81">
        <f t="shared" ca="1" si="192"/>
        <v>3090.0472447601187</v>
      </c>
      <c r="T199" s="108">
        <f t="shared" ca="1" si="193"/>
        <v>1961.2778313135459</v>
      </c>
      <c r="U199" s="108">
        <f t="shared" ca="1" si="194"/>
        <v>5140.2182536513374</v>
      </c>
      <c r="V199" s="108">
        <f t="shared" ca="1" si="195"/>
        <v>1039.8762358689</v>
      </c>
    </row>
    <row r="200" spans="1:22" s="14" customFormat="1" ht="15" customHeight="1" x14ac:dyDescent="0.15">
      <c r="A200" s="75">
        <f ca="1">IFERROR(IF(AND(MAX($A$114:A199)&gt;A199+1, MAX($A$114:A199)&gt;20),0,IF(AND(D200="",G200=""),0,IF(OR(D200&gt;LimitSignB10, G200&gt;LimitSignB11),A199+1,0))),"")</f>
        <v>6</v>
      </c>
      <c r="B200" s="76">
        <f ca="1">IFERROR(MyTime(INDEX(INDIRECT("input!"&amp;$B$112&amp;":"&amp;$B$112),FirstRowInput+Integration*COUNT($B$114:B199)) )* $B$110,"")</f>
        <v>3297.3350399999999</v>
      </c>
      <c r="C200" s="77">
        <f ca="1">IFERROR(AVERAGE(INDEX(INDIRECT("input!" &amp; $C$112 &amp; ":" &amp; $C$112),FirstRowInput+Integration*COUNT($B$114:B199)):INDEX(INDIRECT("input!" &amp; $C$112 &amp; ":" &amp; $C$112),FirstRowInput+Integration*COUNT($B$114:B199)+Integration-1))*$C$110,"")</f>
        <v>19285.558174350499</v>
      </c>
      <c r="D200" s="77">
        <f ca="1">IFERROR(AVERAGE(INDEX(INDIRECT("input!" &amp; $D$112 &amp; ":" &amp; $D$112),FirstRowInput+Integration*COUNT($B$114:B199)):INDEX(INDIRECT("input!" &amp; $D$112 &amp; ":" &amp; $D$112),FirstRowInput+Integration*COUNT($B$114:B199)+Integration-1))*$D$110,"")</f>
        <v>1598964.6344628278</v>
      </c>
      <c r="E200" s="77">
        <f ca="1">IFERROR(AVERAGE(INDEX(INDIRECT("input!" &amp; $E$112 &amp; ":" &amp; $E$112),FirstRowInput+Integration*COUNT($B$114:B199)):INDEX(INDIRECT("input!" &amp; $E$112 &amp; ":" &amp; $E$112),FirstRowInput+Integration*COUNT($B$114:B199)+Integration-1))*$E$110,"")</f>
        <v>22264.68623841403</v>
      </c>
      <c r="F200" s="77">
        <f ca="1">IFERROR(AVERAGE(INDEX(INDIRECT("input!" &amp; $F$112 &amp; ":" &amp; $F$112),FirstRowInput+Integration*COUNT($B$114:B199)):INDEX(INDIRECT("input!" &amp; $F$112 &amp; ":" &amp; $F$112),FirstRowInput+Integration*COUNT($B$114:B199)+Integration-1))*$F$110,"")</f>
        <v>15050.043081459422</v>
      </c>
      <c r="G200" s="77">
        <f ca="1">IFERROR(AVERAGE(INDEX(INDIRECT("input!" &amp; $G$112 &amp; ":" &amp; $G$112),FirstRowInput+Integration*COUNT($B$114:B199)):INDEX(INDIRECT("input!" &amp; $G$112 &amp; ":" &amp; $G$112),FirstRowInput+Integration*COUNT($B$114:B199)+Integration-1))*$G$110,"")</f>
        <v>7246510.7645636154</v>
      </c>
      <c r="H200" s="77">
        <f ca="1">IFERROR(AVERAGE(INDEX(INDIRECT("input!" &amp; $H$112 &amp; ":" &amp; $H$112),FirstRowInput+Integration*COUNT($B$114:B199)):INDEX(INDIRECT("input!" &amp; $H$112 &amp; ":" &amp; $H$112),FirstRowInput+Integration*COUNT($B$114:B199)+Integration-1))*$H$110,"")</f>
        <v>4953.8414659788659</v>
      </c>
      <c r="I200" s="42">
        <v>88</v>
      </c>
      <c r="J200" s="74" t="str">
        <f t="shared" si="161"/>
        <v/>
      </c>
      <c r="K200" s="183"/>
      <c r="L200" s="183"/>
      <c r="M200" s="183"/>
      <c r="N200" s="183"/>
      <c r="O200" s="183" t="str">
        <f t="shared" si="170"/>
        <v/>
      </c>
      <c r="P200" s="183" t="str">
        <f t="shared" si="171"/>
        <v/>
      </c>
      <c r="Q200" s="183" t="str">
        <f t="shared" si="172"/>
        <v/>
      </c>
      <c r="R200" s="183" t="str">
        <f t="shared" si="173"/>
        <v/>
      </c>
      <c r="S200" s="81">
        <f t="shared" ca="1" si="192"/>
        <v>405.04290285955813</v>
      </c>
      <c r="T200" s="108">
        <f t="shared" ca="1" si="193"/>
        <v>2448.9656597266003</v>
      </c>
      <c r="U200" s="108">
        <f t="shared" ca="1" si="194"/>
        <v>1881.8540684613017</v>
      </c>
      <c r="V200" s="108">
        <f t="shared" ca="1" si="195"/>
        <v>-1071.7682627421855</v>
      </c>
    </row>
    <row r="201" spans="1:22" s="14" customFormat="1" ht="15" customHeight="1" x14ac:dyDescent="0.15">
      <c r="A201" s="75">
        <f ca="1">IFERROR(IF(AND(MAX($A$114:A200)&gt;A200+1, MAX($A$114:A200)&gt;20),0,IF(AND(D201="",G201=""),0,IF(OR(D201&gt;LimitSignB10, G201&gt;LimitSignB11),A200+1,0))),"")</f>
        <v>7</v>
      </c>
      <c r="B201" s="76">
        <f ca="1">IFERROR(MyTime(INDEX(INDIRECT("input!"&amp;$B$112&amp;":"&amp;$B$112),FirstRowInput+Integration*COUNT($B$114:B200)) )* $B$110,"")</f>
        <v>3297.4028800000001</v>
      </c>
      <c r="C201" s="77">
        <f ca="1">IFERROR(AVERAGE(INDEX(INDIRECT("input!" &amp; $C$112 &amp; ":" &amp; $C$112),FirstRowInput+Integration*COUNT($B$114:B200)):INDEX(INDIRECT("input!" &amp; $C$112 &amp; ":" &amp; $C$112),FirstRowInput+Integration*COUNT($B$114:B200)+Integration-1))*$C$110,"")</f>
        <v>18639.958315011136</v>
      </c>
      <c r="D201" s="77">
        <f ca="1">IFERROR(AVERAGE(INDEX(INDIRECT("input!" &amp; $D$112 &amp; ":" &amp; $D$112),FirstRowInput+Integration*COUNT($B$114:B200)):INDEX(INDIRECT("input!" &amp; $D$112 &amp; ":" &amp; $D$112),FirstRowInput+Integration*COUNT($B$114:B200)+Integration-1))*$D$110,"")</f>
        <v>1634034.8983126709</v>
      </c>
      <c r="E201" s="77">
        <f ca="1">IFERROR(AVERAGE(INDEX(INDIRECT("input!" &amp; $E$112 &amp; ":" &amp; $E$112),FirstRowInput+Integration*COUNT($B$114:B200)):INDEX(INDIRECT("input!" &amp; $E$112 &amp; ":" &amp; $E$112),FirstRowInput+Integration*COUNT($B$114:B200)+Integration-1))*$E$110,"")</f>
        <v>19049.38977188701</v>
      </c>
      <c r="F201" s="77">
        <f ca="1">IFERROR(AVERAGE(INDEX(INDIRECT("input!" &amp; $F$112 &amp; ":" &amp; $F$112),FirstRowInput+Integration*COUNT($B$114:B200)):INDEX(INDIRECT("input!" &amp; $F$112 &amp; ":" &amp; $F$112),FirstRowInput+Integration*COUNT($B$114:B200)+Integration-1))*$F$110,"")</f>
        <v>16544.764817224175</v>
      </c>
      <c r="G201" s="77">
        <f ca="1">IFERROR(AVERAGE(INDEX(INDIRECT("input!" &amp; $G$112 &amp; ":" &amp; $G$112),FirstRowInput+Integration*COUNT($B$114:B200)):INDEX(INDIRECT("input!" &amp; $G$112 &amp; ":" &amp; $G$112),FirstRowInput+Integration*COUNT($B$114:B200)+Integration-1))*$G$110,"")</f>
        <v>7412058.1605484132</v>
      </c>
      <c r="H201" s="77">
        <f ca="1">IFERROR(AVERAGE(INDEX(INDIRECT("input!" &amp; $H$112 &amp; ":" &amp; $H$112),FirstRowInput+Integration*COUNT($B$114:B200)):INDEX(INDIRECT("input!" &amp; $H$112 &amp; ":" &amp; $H$112),FirstRowInput+Integration*COUNT($B$114:B200)+Integration-1))*$H$110,"")</f>
        <v>20202.947541572637</v>
      </c>
      <c r="I201" s="42">
        <v>89</v>
      </c>
      <c r="J201" s="74" t="str">
        <f t="shared" si="161"/>
        <v/>
      </c>
      <c r="K201" s="183"/>
      <c r="L201" s="183"/>
      <c r="M201" s="183"/>
      <c r="N201" s="183"/>
      <c r="O201" s="183" t="str">
        <f t="shared" si="170"/>
        <v/>
      </c>
      <c r="P201" s="183" t="str">
        <f t="shared" si="171"/>
        <v/>
      </c>
      <c r="Q201" s="183" t="str">
        <f t="shared" si="172"/>
        <v/>
      </c>
      <c r="R201" s="183" t="str">
        <f t="shared" si="173"/>
        <v/>
      </c>
      <c r="S201" s="81">
        <f t="shared" ca="1" si="192"/>
        <v>367.71194962643312</v>
      </c>
      <c r="T201" s="108">
        <f t="shared" ca="1" si="193"/>
        <v>-297.75515912949413</v>
      </c>
      <c r="U201" s="108">
        <f t="shared" ca="1" si="194"/>
        <v>216.24805236685825</v>
      </c>
      <c r="V201" s="108">
        <f t="shared" ca="1" si="195"/>
        <v>519.175846886008</v>
      </c>
    </row>
    <row r="202" spans="1:22" s="14" customFormat="1" ht="15" customHeight="1" x14ac:dyDescent="0.15">
      <c r="A202" s="75">
        <f ca="1">IFERROR(IF(AND(MAX($A$114:A201)&gt;A201+1, MAX($A$114:A201)&gt;20),0,IF(AND(D202="",G202=""),0,IF(OR(D202&gt;LimitSignB10, G202&gt;LimitSignB11),A201+1,0))),"")</f>
        <v>8</v>
      </c>
      <c r="B202" s="76">
        <f ca="1">IFERROR(MyTime(INDEX(INDIRECT("input!"&amp;$B$112&amp;":"&amp;$B$112),FirstRowInput+Integration*COUNT($B$114:B201)) )* $B$110,"")</f>
        <v>3297.4709760000001</v>
      </c>
      <c r="C202" s="77">
        <f ca="1">IFERROR(AVERAGE(INDEX(INDIRECT("input!" &amp; $C$112 &amp; ":" &amp; $C$112),FirstRowInput+Integration*COUNT($B$114:B201)):INDEX(INDIRECT("input!" &amp; $C$112 &amp; ":" &amp; $C$112),FirstRowInput+Integration*COUNT($B$114:B201)+Integration-1))*$C$110,"")</f>
        <v>23498.841749056814</v>
      </c>
      <c r="D202" s="77">
        <f ca="1">IFERROR(AVERAGE(INDEX(INDIRECT("input!" &amp; $D$112 &amp; ":" &amp; $D$112),FirstRowInput+Integration*COUNT($B$114:B201)):INDEX(INDIRECT("input!" &amp; $D$112 &amp; ":" &amp; $D$112),FirstRowInput+Integration*COUNT($B$114:B201)+Integration-1))*$D$110,"")</f>
        <v>1632934.11035503</v>
      </c>
      <c r="E202" s="77">
        <f ca="1">IFERROR(AVERAGE(INDEX(INDIRECT("input!" &amp; $E$112 &amp; ":" &amp; $E$112),FirstRowInput+Integration*COUNT($B$114:B201)):INDEX(INDIRECT("input!" &amp; $E$112 &amp; ":" &amp; $E$112),FirstRowInput+Integration*COUNT($B$114:B201)+Integration-1))*$E$110,"")</f>
        <v>16771.244600701841</v>
      </c>
      <c r="F202" s="77">
        <f ca="1">IFERROR(AVERAGE(INDEX(INDIRECT("input!" &amp; $F$112 &amp; ":" &amp; $F$112),FirstRowInput+Integration*COUNT($B$114:B201)):INDEX(INDIRECT("input!" &amp; $F$112 &amp; ":" &amp; $F$112),FirstRowInput+Integration*COUNT($B$114:B201)+Integration-1))*$F$110,"")</f>
        <v>6224.1492009432841</v>
      </c>
      <c r="G202" s="77">
        <f ca="1">IFERROR(AVERAGE(INDEX(INDIRECT("input!" &amp; $G$112 &amp; ":" &amp; $G$112),FirstRowInput+Integration*COUNT($B$114:B201)):INDEX(INDIRECT("input!" &amp; $G$112 &amp; ":" &amp; $G$112),FirstRowInput+Integration*COUNT($B$114:B201)+Integration-1))*$G$110,"")</f>
        <v>7409256.1398820225</v>
      </c>
      <c r="H202" s="77">
        <f ca="1">IFERROR(AVERAGE(INDEX(INDIRECT("input!" &amp; $H$112 &amp; ":" &amp; $H$112),FirstRowInput+Integration*COUNT($B$114:B201)):INDEX(INDIRECT("input!" &amp; $H$112 &amp; ":" &amp; $H$112),FirstRowInput+Integration*COUNT($B$114:B201)+Integration-1))*$H$110,"")</f>
        <v>4823.6340916204954</v>
      </c>
      <c r="I202" s="42">
        <v>90</v>
      </c>
      <c r="J202" s="74" t="str">
        <f t="shared" si="161"/>
        <v/>
      </c>
      <c r="K202" s="183"/>
      <c r="L202" s="183"/>
      <c r="M202" s="183"/>
      <c r="N202" s="183"/>
      <c r="O202" s="183" t="str">
        <f t="shared" si="170"/>
        <v/>
      </c>
      <c r="P202" s="183" t="str">
        <f t="shared" si="171"/>
        <v/>
      </c>
      <c r="Q202" s="183" t="str">
        <f t="shared" si="172"/>
        <v/>
      </c>
      <c r="R202" s="183" t="str">
        <f t="shared" si="173"/>
        <v/>
      </c>
      <c r="S202" s="81">
        <f t="shared" ca="1" si="192"/>
        <v>-2314.3763379200072</v>
      </c>
      <c r="T202" s="108">
        <f t="shared" ca="1" si="193"/>
        <v>-1086.0813535649286</v>
      </c>
      <c r="U202" s="108">
        <f t="shared" ca="1" si="194"/>
        <v>-1848.6517877225469</v>
      </c>
      <c r="V202" s="108">
        <f t="shared" ca="1" si="195"/>
        <v>-2780.1008881174675</v>
      </c>
    </row>
    <row r="203" spans="1:22" s="14" customFormat="1" ht="15" customHeight="1" x14ac:dyDescent="0.15">
      <c r="A203" s="75">
        <f ca="1">IFERROR(IF(AND(MAX($A$114:A202)&gt;A202+1, MAX($A$114:A202)&gt;20),0,IF(AND(D203="",G203=""),0,IF(OR(D203&gt;LimitSignB10, G203&gt;LimitSignB11),A202+1,0))),"")</f>
        <v>9</v>
      </c>
      <c r="B203" s="76">
        <f ca="1">IFERROR(MyTime(INDEX(INDIRECT("input!"&amp;$B$112&amp;":"&amp;$B$112),FirstRowInput+Integration*COUNT($B$114:B202)) )* $B$110,"")</f>
        <v>3297.539072</v>
      </c>
      <c r="C203" s="77">
        <f ca="1">IFERROR(AVERAGE(INDEX(INDIRECT("input!" &amp; $C$112 &amp; ":" &amp; $C$112),FirstRowInput+Integration*COUNT($B$114:B202)):INDEX(INDIRECT("input!" &amp; $C$112 &amp; ":" &amp; $C$112),FirstRowInput+Integration*COUNT($B$114:B202)+Integration-1))*$C$110,"")</f>
        <v>23012.563512336466</v>
      </c>
      <c r="D203" s="77">
        <f ca="1">IFERROR(AVERAGE(INDEX(INDIRECT("input!" &amp; $D$112 &amp; ":" &amp; $D$112),FirstRowInput+Integration*COUNT($B$114:B202)):INDEX(INDIRECT("input!" &amp; $D$112 &amp; ":" &amp; $D$112),FirstRowInput+Integration*COUNT($B$114:B202)+Integration-1))*$D$110,"")</f>
        <v>1660959.0653803055</v>
      </c>
      <c r="E203" s="77">
        <f ca="1">IFERROR(AVERAGE(INDEX(INDIRECT("input!" &amp; $E$112 &amp; ":" &amp; $E$112),FirstRowInput+Integration*COUNT($B$114:B202)):INDEX(INDIRECT("input!" &amp; $E$112 &amp; ":" &amp; $E$112),FirstRowInput+Integration*COUNT($B$114:B202)+Integration-1))*$E$110,"")</f>
        <v>17472.737383016138</v>
      </c>
      <c r="F203" s="77">
        <f ca="1">IFERROR(AVERAGE(INDEX(INDIRECT("input!" &amp; $F$112 &amp; ":" &amp; $F$112),FirstRowInput+Integration*COUNT($B$114:B202)):INDEX(INDIRECT("input!" &amp; $F$112 &amp; ":" &amp; $F$112),FirstRowInput+Integration*COUNT($B$114:B202)+Integration-1))*$F$110,"")</f>
        <v>10053.225033176084</v>
      </c>
      <c r="G203" s="77">
        <f ca="1">IFERROR(AVERAGE(INDEX(INDIRECT("input!" &amp; $G$112 &amp; ":" &amp; $G$112),FirstRowInput+Integration*COUNT($B$114:B202)):INDEX(INDIRECT("input!" &amp; $G$112 &amp; ":" &amp; $G$112),FirstRowInput+Integration*COUNT($B$114:B202)+Integration-1))*$G$110,"")</f>
        <v>7559988.6533879759</v>
      </c>
      <c r="H203" s="77">
        <f ca="1">IFERROR(AVERAGE(INDEX(INDIRECT("input!" &amp; $H$112 &amp; ":" &amp; $H$112),FirstRowInput+Integration*COUNT($B$114:B202)):INDEX(INDIRECT("input!" &amp; $H$112 &amp; ":" &amp; $H$112),FirstRowInput+Integration*COUNT($B$114:B202)+Integration-1))*$H$110,"")</f>
        <v>9726.6737948634382</v>
      </c>
      <c r="I203" s="42">
        <v>91</v>
      </c>
      <c r="J203" s="74" t="str">
        <f>IF(K203=1,I203,"")</f>
        <v/>
      </c>
      <c r="K203" s="183"/>
      <c r="L203" s="183"/>
      <c r="M203" s="183"/>
      <c r="N203" s="183"/>
      <c r="O203" s="183" t="str">
        <f t="shared" si="170"/>
        <v/>
      </c>
      <c r="P203" s="183" t="str">
        <f t="shared" si="171"/>
        <v/>
      </c>
      <c r="Q203" s="183" t="str">
        <f t="shared" si="172"/>
        <v/>
      </c>
      <c r="R203" s="183" t="str">
        <f t="shared" si="173"/>
        <v/>
      </c>
      <c r="S203" s="81">
        <f t="shared" ca="1" si="192"/>
        <v>1995.2219507141808</v>
      </c>
      <c r="T203" s="108">
        <f t="shared" ca="1" si="193"/>
        <v>-134.52239226609163</v>
      </c>
      <c r="U203" s="108">
        <f t="shared" ca="1" si="194"/>
        <v>2193.2133438931305</v>
      </c>
      <c r="V203" s="108">
        <f t="shared" ca="1" si="195"/>
        <v>1797.2305575352311</v>
      </c>
    </row>
    <row r="204" spans="1:22" s="14" customFormat="1" ht="15" customHeight="1" x14ac:dyDescent="0.15">
      <c r="A204" s="75">
        <f ca="1">IFERROR(IF(AND(MAX($A$114:A203)&gt;A203+1, MAX($A$114:A203)&gt;20),0,IF(AND(D204="",G204=""),0,IF(OR(D204&gt;LimitSignB10, G204&gt;LimitSignB11),A203+1,0))),"")</f>
        <v>10</v>
      </c>
      <c r="B204" s="76">
        <f ca="1">IFERROR(MyTime(INDEX(INDIRECT("input!"&amp;$B$112&amp;":"&amp;$B$112),FirstRowInput+Integration*COUNT($B$114:B203)) )* $B$110,"")</f>
        <v>3297.607168</v>
      </c>
      <c r="C204" s="77">
        <f ca="1">IFERROR(AVERAGE(INDEX(INDIRECT("input!" &amp; $C$112 &amp; ":" &amp; $C$112),FirstRowInput+Integration*COUNT($B$114:B203)):INDEX(INDIRECT("input!" &amp; $C$112 &amp; ":" &amp; $C$112),FirstRowInput+Integration*COUNT($B$114:B203)+Integration-1))*$C$110,"")</f>
        <v>20345.336662785077</v>
      </c>
      <c r="D204" s="77">
        <f ca="1">IFERROR(AVERAGE(INDEX(INDIRECT("input!" &amp; $D$112 &amp; ":" &amp; $D$112),FirstRowInput+Integration*COUNT($B$114:B203)):INDEX(INDIRECT("input!" &amp; $D$112 &amp; ":" &amp; $D$112),FirstRowInput+Integration*COUNT($B$114:B203)+Integration-1))*$D$110,"")</f>
        <v>1687627.1548189372</v>
      </c>
      <c r="E204" s="77">
        <f ca="1">IFERROR(AVERAGE(INDEX(INDIRECT("input!" &amp; $E$112 &amp; ":" &amp; $E$112),FirstRowInput+Integration*COUNT($B$114:B203)):INDEX(INDIRECT("input!" &amp; $E$112 &amp; ":" &amp; $E$112),FirstRowInput+Integration*COUNT($B$114:B203)+Integration-1))*$E$110,"")</f>
        <v>18674.362523299518</v>
      </c>
      <c r="F204" s="77">
        <f ca="1">IFERROR(AVERAGE(INDEX(INDIRECT("input!" &amp; $F$112 &amp; ":" &amp; $F$112),FirstRowInput+Integration*COUNT($B$114:B203)):INDEX(INDIRECT("input!" &amp; $F$112 &amp; ":" &amp; $F$112),FirstRowInput+Integration*COUNT($B$114:B203)+Integration-1))*$F$110,"")</f>
        <v>10350.065296955967</v>
      </c>
      <c r="G204" s="77">
        <f ca="1">IFERROR(AVERAGE(INDEX(INDIRECT("input!" &amp; $G$112 &amp; ":" &amp; $G$112),FirstRowInput+Integration*COUNT($B$114:B203)):INDEX(INDIRECT("input!" &amp; $G$112 &amp; ":" &amp; $G$112),FirstRowInput+Integration*COUNT($B$114:B203)+Integration-1))*$G$110,"")</f>
        <v>7674786.4132622592</v>
      </c>
      <c r="H204" s="77">
        <f ca="1">IFERROR(AVERAGE(INDEX(INDIRECT("input!" &amp; $H$112 &amp; ":" &amp; $H$112),FirstRowInput+Integration*COUNT($B$114:B203)):INDEX(INDIRECT("input!" &amp; $H$112 &amp; ":" &amp; $H$112),FirstRowInput+Integration*COUNT($B$114:B203)+Integration-1))*$H$110,"")</f>
        <v>10305.117336562214</v>
      </c>
      <c r="I204" s="42">
        <v>92</v>
      </c>
      <c r="J204" s="74" t="str">
        <f>IF(K204=1,I204,"")</f>
        <v/>
      </c>
      <c r="K204" s="183"/>
      <c r="L204" s="183"/>
      <c r="M204" s="183"/>
      <c r="N204" s="183"/>
      <c r="O204" s="183" t="str">
        <f t="shared" si="170"/>
        <v/>
      </c>
      <c r="P204" s="183" t="str">
        <f t="shared" si="171"/>
        <v/>
      </c>
      <c r="Q204" s="183" t="str">
        <f t="shared" si="172"/>
        <v/>
      </c>
      <c r="R204" s="183" t="str">
        <f t="shared" si="173"/>
        <v/>
      </c>
      <c r="S204" s="81">
        <f t="shared" ca="1" si="192"/>
        <v>2421.5408866641101</v>
      </c>
      <c r="T204" s="108">
        <f t="shared" ca="1" si="193"/>
        <v>1506.2209601401955</v>
      </c>
      <c r="U204" s="108">
        <f t="shared" ca="1" si="194"/>
        <v>2839.2318019646718</v>
      </c>
      <c r="V204" s="108">
        <f t="shared" ca="1" si="195"/>
        <v>2003.8499713635483</v>
      </c>
    </row>
    <row r="205" spans="1:22" s="14" customFormat="1" ht="15" customHeight="1" x14ac:dyDescent="0.15">
      <c r="A205" s="75">
        <f ca="1">IFERROR(IF(AND(MAX($A$114:A204)&gt;A204+1, MAX($A$114:A204)&gt;20),0,IF(AND(D205="",G205=""),0,IF(OR(D205&gt;LimitSignB10, G205&gt;LimitSignB11),A204+1,0))),"")</f>
        <v>11</v>
      </c>
      <c r="B205" s="76">
        <f ca="1">IFERROR(MyTime(INDEX(INDIRECT("input!"&amp;$B$112&amp;":"&amp;$B$112),FirstRowInput+Integration*COUNT($B$114:B204)) )* $B$110,"")</f>
        <v>3297.675264</v>
      </c>
      <c r="C205" s="77">
        <f ca="1">IFERROR(AVERAGE(INDEX(INDIRECT("input!" &amp; $C$112 &amp; ":" &amp; $C$112),FirstRowInput+Integration*COUNT($B$114:B204)):INDEX(INDIRECT("input!" &amp; $C$112 &amp; ":" &amp; $C$112),FirstRowInput+Integration*COUNT($B$114:B204)+Integration-1))*$C$110,"")</f>
        <v>21091.489864900417</v>
      </c>
      <c r="D205" s="77">
        <f ca="1">IFERROR(AVERAGE(INDEX(INDIRECT("input!" &amp; $D$112 &amp; ":" &amp; $D$112),FirstRowInput+Integration*COUNT($B$114:B204)):INDEX(INDIRECT("input!" &amp; $D$112 &amp; ":" &amp; $D$112),FirstRowInput+Integration*COUNT($B$114:B204)+Integration-1))*$D$110,"")</f>
        <v>1619806.5600069351</v>
      </c>
      <c r="E205" s="77">
        <f ca="1">IFERROR(AVERAGE(INDEX(INDIRECT("input!" &amp; $E$112 &amp; ":" &amp; $E$112),FirstRowInput+Integration*COUNT($B$114:B204)):INDEX(INDIRECT("input!" &amp; $E$112 &amp; ":" &amp; $E$112),FirstRowInput+Integration*COUNT($B$114:B204)+Integration-1))*$E$110,"")</f>
        <v>20754.224087828712</v>
      </c>
      <c r="F205" s="77">
        <f ca="1">IFERROR(AVERAGE(INDEX(INDIRECT("input!" &amp; $F$112 &amp; ":" &amp; $F$112),FirstRowInput+Integration*COUNT($B$114:B204)):INDEX(INDIRECT("input!" &amp; $F$112 &amp; ":" &amp; $F$112),FirstRowInput+Integration*COUNT($B$114:B204)+Integration-1))*$F$110,"")</f>
        <v>18349.744595790315</v>
      </c>
      <c r="G205" s="77">
        <f ca="1">IFERROR(AVERAGE(INDEX(INDIRECT("input!" &amp; $G$112 &amp; ":" &amp; $G$112),FirstRowInput+Integration*COUNT($B$114:B204)):INDEX(INDIRECT("input!" &amp; $G$112 &amp; ":" &amp; $G$112),FirstRowInput+Integration*COUNT($B$114:B204)+Integration-1))*$G$110,"")</f>
        <v>7337587.5009848112</v>
      </c>
      <c r="H205" s="77">
        <f ca="1">IFERROR(AVERAGE(INDEX(INDIRECT("input!" &amp; $H$112 &amp; ":" &amp; $H$112),FirstRowInput+Integration*COUNT($B$114:B204)):INDEX(INDIRECT("input!" &amp; $H$112 &amp; ":" &amp; $H$112),FirstRowInput+Integration*COUNT($B$114:B204)+Integration-1))*$H$110,"")</f>
        <v>18555.628428578591</v>
      </c>
      <c r="I205" s="42">
        <v>93</v>
      </c>
      <c r="J205" s="74" t="str">
        <f>IF(K205=1,I205,"")</f>
        <v/>
      </c>
      <c r="K205" s="183"/>
      <c r="L205" s="183"/>
      <c r="M205" s="183"/>
      <c r="N205" s="183"/>
      <c r="O205" s="183" t="str">
        <f t="shared" si="170"/>
        <v/>
      </c>
      <c r="P205" s="183" t="str">
        <f t="shared" si="171"/>
        <v/>
      </c>
      <c r="Q205" s="183" t="str">
        <f t="shared" si="172"/>
        <v/>
      </c>
      <c r="R205" s="183" t="str">
        <f t="shared" si="173"/>
        <v/>
      </c>
      <c r="S205" s="81">
        <f t="shared" ca="1" si="192"/>
        <v>2720.7697946084036</v>
      </c>
      <c r="T205" s="108">
        <f t="shared" ca="1" si="193"/>
        <v>69.917621809097909</v>
      </c>
      <c r="U205" s="108">
        <f t="shared" ca="1" si="194"/>
        <v>2524.2034237158168</v>
      </c>
      <c r="V205" s="108">
        <f t="shared" ca="1" si="195"/>
        <v>2917.3361655009903</v>
      </c>
    </row>
    <row r="206" spans="1:22" s="14" customFormat="1" ht="15" customHeight="1" x14ac:dyDescent="0.15">
      <c r="A206" s="75">
        <f ca="1">IFERROR(IF(AND(MAX($A$114:A205)&gt;A205+1, MAX($A$114:A205)&gt;20),0,IF(AND(D206="",G206=""),0,IF(OR(D206&gt;LimitSignB10, G206&gt;LimitSignB11),A205+1,0))),"")</f>
        <v>12</v>
      </c>
      <c r="B206" s="76">
        <f ca="1">IFERROR(MyTime(INDEX(INDIRECT("input!"&amp;$B$112&amp;":"&amp;$B$112),FirstRowInput+Integration*COUNT($B$114:B205)) )* $B$110,"")</f>
        <v>3297.7436160000002</v>
      </c>
      <c r="C206" s="77">
        <f ca="1">IFERROR(AVERAGE(INDEX(INDIRECT("input!" &amp; $C$112 &amp; ":" &amp; $C$112),FirstRowInput+Integration*COUNT($B$114:B205)):INDEX(INDIRECT("input!" &amp; $C$112 &amp; ":" &amp; $C$112),FirstRowInput+Integration*COUNT($B$114:B205)+Integration-1))*$C$110,"")</f>
        <v>21754.534013403547</v>
      </c>
      <c r="D206" s="77">
        <f ca="1">IFERROR(AVERAGE(INDEX(INDIRECT("input!" &amp; $D$112 &amp; ":" &amp; $D$112),FirstRowInput+Integration*COUNT($B$114:B205)):INDEX(INDIRECT("input!" &amp; $D$112 &amp; ":" &amp; $D$112),FirstRowInput+Integration*COUNT($B$114:B205)+Integration-1))*$D$110,"")</f>
        <v>1612181.7634507292</v>
      </c>
      <c r="E206" s="77">
        <f ca="1">IFERROR(AVERAGE(INDEX(INDIRECT("input!" &amp; $E$112 &amp; ":" &amp; $E$112),FirstRowInput+Integration*COUNT($B$114:B205)):INDEX(INDIRECT("input!" &amp; $E$112 &amp; ":" &amp; $E$112),FirstRowInput+Integration*COUNT($B$114:B205)+Integration-1))*$E$110,"")</f>
        <v>15801.755846637323</v>
      </c>
      <c r="F206" s="77">
        <f ca="1">IFERROR(AVERAGE(INDEX(INDIRECT("input!" &amp; $F$112 &amp; ":" &amp; $F$112),FirstRowInput+Integration*COUNT($B$114:B205)):INDEX(INDIRECT("input!" &amp; $F$112 &amp; ":" &amp; $F$112),FirstRowInput+Integration*COUNT($B$114:B205)+Integration-1))*$F$110,"")</f>
        <v>11991.28040739071</v>
      </c>
      <c r="G206" s="77">
        <f ca="1">IFERROR(AVERAGE(INDEX(INDIRECT("input!" &amp; $G$112 &amp; ":" &amp; $G$112),FirstRowInput+Integration*COUNT($B$114:B205)):INDEX(INDIRECT("input!" &amp; $G$112 &amp; ":" &amp; $G$112),FirstRowInput+Integration*COUNT($B$114:B205)+Integration-1))*$G$110,"")</f>
        <v>7286415.2136647664</v>
      </c>
      <c r="H206" s="77">
        <f ca="1">IFERROR(AVERAGE(INDEX(INDIRECT("input!" &amp; $H$112 &amp; ":" &amp; $H$112),FirstRowInput+Integration*COUNT($B$114:B205)):INDEX(INDIRECT("input!" &amp; $H$112 &amp; ":" &amp; $H$112),FirstRowInput+Integration*COUNT($B$114:B205)+Integration-1))*$H$110,"")</f>
        <v>10346.532036348393</v>
      </c>
      <c r="I206" s="42">
        <v>94</v>
      </c>
      <c r="J206" s="74" t="str">
        <f>IF(K206=1,I206,"")</f>
        <v/>
      </c>
      <c r="K206" s="183"/>
      <c r="L206" s="183"/>
      <c r="M206" s="183"/>
      <c r="N206" s="183"/>
      <c r="O206" s="183" t="str">
        <f t="shared" si="170"/>
        <v/>
      </c>
      <c r="P206" s="183" t="str">
        <f t="shared" si="171"/>
        <v/>
      </c>
      <c r="Q206" s="183" t="str">
        <f t="shared" si="172"/>
        <v/>
      </c>
      <c r="R206" s="183" t="str">
        <f t="shared" si="173"/>
        <v/>
      </c>
      <c r="S206" s="81">
        <f t="shared" ca="1" si="192"/>
        <v>2112.3466586989634</v>
      </c>
      <c r="T206" s="108">
        <f t="shared" ca="1" si="193"/>
        <v>-837.04671876735665</v>
      </c>
      <c r="U206" s="108">
        <f t="shared" ca="1" si="194"/>
        <v>-163.20069590472485</v>
      </c>
      <c r="V206" s="108">
        <f t="shared" ca="1" si="195"/>
        <v>4387.8940133026517</v>
      </c>
    </row>
    <row r="207" spans="1:22" s="14" customFormat="1" ht="15" customHeight="1" x14ac:dyDescent="0.15">
      <c r="A207" s="75">
        <f ca="1">IFERROR(IF(AND(MAX($A$114:A206)&gt;A206+1, MAX($A$114:A206)&gt;20),0,IF(AND(D207="",G207=""),0,IF(OR(D207&gt;LimitSignB10, G207&gt;LimitSignB11),A206+1,0))),"")</f>
        <v>13</v>
      </c>
      <c r="B207" s="76">
        <f ca="1">IFERROR(MyTime(INDEX(INDIRECT("input!"&amp;$B$112&amp;":"&amp;$B$112),FirstRowInput+Integration*COUNT($B$114:B206)) )* $B$110,"")</f>
        <v>3297.8117119999997</v>
      </c>
      <c r="C207" s="77">
        <f ca="1">IFERROR(AVERAGE(INDEX(INDIRECT("input!" &amp; $C$112 &amp; ":" &amp; $C$112),FirstRowInput+Integration*COUNT($B$114:B206)):INDEX(INDIRECT("input!" &amp; $C$112 &amp; ":" &amp; $C$112),FirstRowInput+Integration*COUNT($B$114:B206)+Integration-1))*$C$110,"")</f>
        <v>20686.377967689907</v>
      </c>
      <c r="D207" s="77">
        <f ca="1">IFERROR(AVERAGE(INDEX(INDIRECT("input!" &amp; $D$112 &amp; ":" &amp; $D$112),FirstRowInput+Integration*COUNT($B$114:B206)):INDEX(INDIRECT("input!" &amp; $D$112 &amp; ":" &amp; $D$112),FirstRowInput+Integration*COUNT($B$114:B206)+Integration-1))*$D$110,"")</f>
        <v>1661890.2387603859</v>
      </c>
      <c r="E207" s="77">
        <f ca="1">IFERROR(AVERAGE(INDEX(INDIRECT("input!" &amp; $E$112 &amp; ":" &amp; $E$112),FirstRowInput+Integration*COUNT($B$114:B206)):INDEX(INDIRECT("input!" &amp; $E$112 &amp; ":" &amp; $E$112),FirstRowInput+Integration*COUNT($B$114:B206)+Integration-1))*$E$110,"")</f>
        <v>18940.295406675799</v>
      </c>
      <c r="F207" s="77">
        <f ca="1">IFERROR(AVERAGE(INDEX(INDIRECT("input!" &amp; $F$112 &amp; ":" &amp; $F$112),FirstRowInput+Integration*COUNT($B$114:B206)):INDEX(INDIRECT("input!" &amp; $F$112 &amp; ":" &amp; $F$112),FirstRowInput+Integration*COUNT($B$114:B206)+Integration-1))*$F$110,"")</f>
        <v>9404.9801622094019</v>
      </c>
      <c r="G207" s="77">
        <f ca="1">IFERROR(AVERAGE(INDEX(INDIRECT("input!" &amp; $G$112 &amp; ":" &amp; $G$112),FirstRowInput+Integration*COUNT($B$114:B206)):INDEX(INDIRECT("input!" &amp; $G$112 &amp; ":" &amp; $G$112),FirstRowInput+Integration*COUNT($B$114:B206)+Integration-1))*$G$110,"")</f>
        <v>7520771.6635120371</v>
      </c>
      <c r="H207" s="77">
        <f ca="1">IFERROR(AVERAGE(INDEX(INDIRECT("input!" &amp; $H$112 &amp; ":" &amp; $H$112),FirstRowInput+Integration*COUNT($B$114:B206)):INDEX(INDIRECT("input!" &amp; $H$112 &amp; ":" &amp; $H$112),FirstRowInput+Integration*COUNT($B$114:B206)+Integration-1))*$H$110,"")</f>
        <v>13045.575918974539</v>
      </c>
      <c r="I207" s="42">
        <v>95</v>
      </c>
      <c r="J207" s="74" t="str">
        <f t="shared" si="161"/>
        <v/>
      </c>
      <c r="K207" s="183"/>
      <c r="L207" s="183"/>
      <c r="M207" s="183"/>
      <c r="N207" s="183"/>
      <c r="O207" s="183" t="str">
        <f t="shared" si="170"/>
        <v/>
      </c>
      <c r="P207" s="183" t="str">
        <f t="shared" si="171"/>
        <v/>
      </c>
      <c r="Q207" s="183" t="str">
        <f t="shared" si="172"/>
        <v/>
      </c>
      <c r="R207" s="183" t="str">
        <f t="shared" si="173"/>
        <v/>
      </c>
      <c r="S207" s="81">
        <f t="shared" ca="1" si="192"/>
        <v>499.22223829088489</v>
      </c>
      <c r="T207" s="108">
        <f t="shared" ca="1" si="193"/>
        <v>284.46227011681913</v>
      </c>
      <c r="U207" s="108">
        <f t="shared" ca="1" si="194"/>
        <v>-208.66340923163261</v>
      </c>
      <c r="V207" s="108">
        <f t="shared" ca="1" si="195"/>
        <v>1207.1078858134024</v>
      </c>
    </row>
    <row r="208" spans="1:22" s="14" customFormat="1" ht="15" customHeight="1" x14ac:dyDescent="0.15">
      <c r="A208" s="75">
        <f ca="1">IFERROR(IF(AND(MAX($A$114:A207)&gt;A207+1, MAX($A$114:A207)&gt;20),0,IF(AND(D208="",G208=""),0,IF(OR(D208&gt;LimitSignB10, G208&gt;LimitSignB11),A207+1,0))),"")</f>
        <v>14</v>
      </c>
      <c r="B208" s="76">
        <f ca="1">IFERROR(MyTime(INDEX(INDIRECT("input!"&amp;$B$112&amp;":"&amp;$B$112),FirstRowInput+Integration*COUNT($B$114:B207)) )* $B$110,"")</f>
        <v>3297.8795520000003</v>
      </c>
      <c r="C208" s="77">
        <f ca="1">IFERROR(AVERAGE(INDEX(INDIRECT("input!" &amp; $C$112 &amp; ":" &amp; $C$112),FirstRowInput+Integration*COUNT($B$114:B207)):INDEX(INDIRECT("input!" &amp; $C$112 &amp; ":" &amp; $C$112),FirstRowInput+Integration*COUNT($B$114:B207)+Integration-1))*$C$110,"")</f>
        <v>20073.116898673801</v>
      </c>
      <c r="D208" s="77">
        <f ca="1">IFERROR(AVERAGE(INDEX(INDIRECT("input!" &amp; $D$112 &amp; ":" &amp; $D$112),FirstRowInput+Integration*COUNT($B$114:B207)):INDEX(INDIRECT("input!" &amp; $D$112 &amp; ":" &amp; $D$112),FirstRowInput+Integration*COUNT($B$114:B207)+Integration-1))*$D$110,"")</f>
        <v>1665999.9146772134</v>
      </c>
      <c r="E208" s="77">
        <f ca="1">IFERROR(AVERAGE(INDEX(INDIRECT("input!" &amp; $E$112 &amp; ":" &amp; $E$112),FirstRowInput+Integration*COUNT($B$114:B207)):INDEX(INDIRECT("input!" &amp; $E$112 &amp; ":" &amp; $E$112),FirstRowInput+Integration*COUNT($B$114:B207)+Integration-1))*$E$110,"")</f>
        <v>18044.773824405682</v>
      </c>
      <c r="F208" s="77">
        <f ca="1">IFERROR(AVERAGE(INDEX(INDIRECT("input!" &amp; $F$112 &amp; ":" &amp; $F$112),FirstRowInput+Integration*COUNT($B$114:B207)):INDEX(INDIRECT("input!" &amp; $F$112 &amp; ":" &amp; $F$112),FirstRowInput+Integration*COUNT($B$114:B207)+Integration-1))*$F$110,"")</f>
        <v>10287.53223692869</v>
      </c>
      <c r="G208" s="77">
        <f ca="1">IFERROR(AVERAGE(INDEX(INDIRECT("input!" &amp; $G$112 &amp; ":" &amp; $G$112),FirstRowInput+Integration*COUNT($B$114:B207)):INDEX(INDIRECT("input!" &amp; $G$112 &amp; ":" &amp; $G$112),FirstRowInput+Integration*COUNT($B$114:B207)+Integration-1))*$G$110,"")</f>
        <v>7541542.9409901984</v>
      </c>
      <c r="H208" s="77">
        <f ca="1">IFERROR(AVERAGE(INDEX(INDIRECT("input!" &amp; $H$112 &amp; ":" &amp; $H$112),FirstRowInput+Integration*COUNT($B$114:B207)):INDEX(INDIRECT("input!" &amp; $H$112 &amp; ":" &amp; $H$112),FirstRowInput+Integration*COUNT($B$114:B207)+Integration-1))*$H$110,"")</f>
        <v>22967.301971983576</v>
      </c>
      <c r="I208" s="42">
        <v>96</v>
      </c>
      <c r="J208" s="74" t="str">
        <f t="shared" si="161"/>
        <v/>
      </c>
      <c r="K208" s="183"/>
      <c r="L208" s="183"/>
      <c r="M208" s="183"/>
      <c r="N208" s="183"/>
      <c r="O208" s="183" t="str">
        <f t="shared" si="170"/>
        <v/>
      </c>
      <c r="P208" s="183" t="str">
        <f t="shared" si="171"/>
        <v/>
      </c>
      <c r="Q208" s="183" t="str">
        <f t="shared" si="172"/>
        <v/>
      </c>
      <c r="R208" s="183" t="str">
        <f t="shared" si="173"/>
        <v/>
      </c>
      <c r="S208" s="81">
        <f t="shared" ca="1" si="192"/>
        <v>43.107137291334766</v>
      </c>
      <c r="T208" s="108">
        <f t="shared" ca="1" si="193"/>
        <v>-365.03017574820478</v>
      </c>
      <c r="U208" s="108">
        <f t="shared" ca="1" si="194"/>
        <v>-1309.7703605142506</v>
      </c>
      <c r="V208" s="108">
        <f t="shared" ca="1" si="195"/>
        <v>1395.9846350969201</v>
      </c>
    </row>
    <row r="209" spans="1:22" s="14" customFormat="1" ht="15" customHeight="1" x14ac:dyDescent="0.15">
      <c r="A209" s="75">
        <f ca="1">IFERROR(IF(AND(MAX($A$114:A208)&gt;A208+1, MAX($A$114:A208)&gt;20),0,IF(AND(D209="",G209=""),0,IF(OR(D209&gt;LimitSignB10, G209&gt;LimitSignB11),A208+1,0))),"")</f>
        <v>15</v>
      </c>
      <c r="B209" s="76">
        <f ca="1">IFERROR(MyTime(INDEX(INDIRECT("input!"&amp;$B$112&amp;":"&amp;$B$112),FirstRowInput+Integration*COUNT($B$114:B208)) )* $B$110,"")</f>
        <v>3297.9476480000003</v>
      </c>
      <c r="C209" s="77">
        <f ca="1">IFERROR(AVERAGE(INDEX(INDIRECT("input!" &amp; $C$112 &amp; ":" &amp; $C$112),FirstRowInput+Integration*COUNT($B$114:B208)):INDEX(INDIRECT("input!" &amp; $C$112 &amp; ":" &amp; $C$112),FirstRowInput+Integration*COUNT($B$114:B208)+Integration-1))*$C$110,"")</f>
        <v>17562.162571992605</v>
      </c>
      <c r="D209" s="77">
        <f ca="1">IFERROR(AVERAGE(INDEX(INDIRECT("input!" &amp; $D$112 &amp; ":" &amp; $D$112),FirstRowInput+Integration*COUNT($B$114:B208)):INDEX(INDIRECT("input!" &amp; $D$112 &amp; ":" &amp; $D$112),FirstRowInput+Integration*COUNT($B$114:B208)+Integration-1))*$D$110,"")</f>
        <v>1621537.5074641767</v>
      </c>
      <c r="E209" s="77">
        <f ca="1">IFERROR(AVERAGE(INDEX(INDIRECT("input!" &amp; $E$112 &amp; ":" &amp; $E$112),FirstRowInput+Integration*COUNT($B$114:B208)):INDEX(INDIRECT("input!" &amp; $E$112 &amp; ":" &amp; $E$112),FirstRowInput+Integration*COUNT($B$114:B208)+Integration-1))*$E$110,"")</f>
        <v>17641.310514945748</v>
      </c>
      <c r="F209" s="77">
        <f ca="1">IFERROR(AVERAGE(INDEX(INDIRECT("input!" &amp; $F$112 &amp; ":" &amp; $F$112),FirstRowInput+Integration*COUNT($B$114:B208)):INDEX(INDIRECT("input!" &amp; $F$112 &amp; ":" &amp; $F$112),FirstRowInput+Integration*COUNT($B$114:B208)+Integration-1))*$F$110,"")</f>
        <v>11854.892267409985</v>
      </c>
      <c r="G209" s="77">
        <f ca="1">IFERROR(AVERAGE(INDEX(INDIRECT("input!" &amp; $G$112 &amp; ":" &amp; $G$112),FirstRowInput+Integration*COUNT($B$114:B208)):INDEX(INDIRECT("input!" &amp; $G$112 &amp; ":" &amp; $G$112),FirstRowInput+Integration*COUNT($B$114:B208)+Integration-1))*$G$110,"")</f>
        <v>7344254.106869285</v>
      </c>
      <c r="H209" s="77">
        <f ca="1">IFERROR(AVERAGE(INDEX(INDIRECT("input!" &amp; $H$112 &amp; ":" &amp; $H$112),FirstRowInput+Integration*COUNT($B$114:B208)):INDEX(INDIRECT("input!" &amp; $H$112 &amp; ":" &amp; $H$112),FirstRowInput+Integration*COUNT($B$114:B208)+Integration-1))*$H$110,"")</f>
        <v>804.17365388064434</v>
      </c>
      <c r="I209" s="42">
        <v>97</v>
      </c>
      <c r="J209" s="74" t="str">
        <f t="shared" si="161"/>
        <v/>
      </c>
      <c r="K209" s="183"/>
      <c r="L209" s="183"/>
      <c r="M209" s="183"/>
      <c r="N209" s="183"/>
      <c r="O209" s="183" t="str">
        <f t="shared" si="170"/>
        <v/>
      </c>
      <c r="P209" s="183" t="str">
        <f t="shared" si="171"/>
        <v/>
      </c>
      <c r="Q209" s="183" t="str">
        <f t="shared" si="172"/>
        <v/>
      </c>
      <c r="R209" s="183" t="str">
        <f t="shared" si="173"/>
        <v/>
      </c>
      <c r="S209" s="81">
        <f t="shared" ca="1" si="192"/>
        <v>-756.78316155496304</v>
      </c>
      <c r="T209" s="108">
        <f t="shared" ca="1" si="193"/>
        <v>-320.62589640088117</v>
      </c>
      <c r="U209" s="108">
        <f t="shared" ca="1" si="194"/>
        <v>-3221.2811040694396</v>
      </c>
      <c r="V209" s="108">
        <f t="shared" ca="1" si="195"/>
        <v>1707.7147809595135</v>
      </c>
    </row>
    <row r="210" spans="1:22" s="14" customFormat="1" ht="15" customHeight="1" x14ac:dyDescent="0.15">
      <c r="A210" s="75">
        <f ca="1">IFERROR(IF(AND(MAX($A$114:A209)&gt;A209+1, MAX($A$114:A209)&gt;20),0,IF(AND(D210="",G210=""),0,IF(OR(D210&gt;LimitSignB10, G210&gt;LimitSignB11),A209+1,0))),"")</f>
        <v>16</v>
      </c>
      <c r="B210" s="76">
        <f ca="1">IFERROR(MyTime(INDEX(INDIRECT("input!"&amp;$B$112&amp;":"&amp;$B$112),FirstRowInput+Integration*COUNT($B$114:B209)) )* $B$110,"")</f>
        <v>3298.0160000000001</v>
      </c>
      <c r="C210" s="77">
        <f ca="1">IFERROR(AVERAGE(INDEX(INDIRECT("input!" &amp; $C$112 &amp; ":" &amp; $C$112),FirstRowInput+Integration*COUNT($B$114:B209)):INDEX(INDIRECT("input!" &amp; $C$112 &amp; ":" &amp; $C$112),FirstRowInput+Integration*COUNT($B$114:B209)+Integration-1))*$C$110,"")</f>
        <v>19369.115433454674</v>
      </c>
      <c r="D210" s="77">
        <f ca="1">IFERROR(AVERAGE(INDEX(INDIRECT("input!" &amp; $D$112 &amp; ":" &amp; $D$112),FirstRowInput+Integration*COUNT($B$114:B209)):INDEX(INDIRECT("input!" &amp; $D$112 &amp; ":" &amp; $D$112),FirstRowInput+Integration*COUNT($B$114:B209)+Integration-1))*$D$110,"")</f>
        <v>1612967.079376305</v>
      </c>
      <c r="E210" s="77">
        <f ca="1">IFERROR(AVERAGE(INDEX(INDIRECT("input!" &amp; $E$112 &amp; ":" &amp; $E$112),FirstRowInput+Integration*COUNT($B$114:B209)):INDEX(INDIRECT("input!" &amp; $E$112 &amp; ":" &amp; $E$112),FirstRowInput+Integration*COUNT($B$114:B209)+Integration-1))*$E$110,"")</f>
        <v>18133.582383100329</v>
      </c>
      <c r="F210" s="77">
        <f ca="1">IFERROR(AVERAGE(INDEX(INDIRECT("input!" &amp; $F$112 &amp; ":" &amp; $F$112),FirstRowInput+Integration*COUNT($B$114:B209)):INDEX(INDIRECT("input!" &amp; $F$112 &amp; ":" &amp; $F$112),FirstRowInput+Integration*COUNT($B$114:B209)+Integration-1))*$F$110,"")</f>
        <v>6101.6593083615435</v>
      </c>
      <c r="G210" s="77">
        <f ca="1">IFERROR(AVERAGE(INDEX(INDIRECT("input!" &amp; $G$112 &amp; ":" &amp; $G$112),FirstRowInput+Integration*COUNT($B$114:B209)):INDEX(INDIRECT("input!" &amp; $G$112 &amp; ":" &amp; $G$112),FirstRowInput+Integration*COUNT($B$114:B209)+Integration-1))*$G$110,"")</f>
        <v>7309473.0172309242</v>
      </c>
      <c r="H210" s="77">
        <f ca="1">IFERROR(AVERAGE(INDEX(INDIRECT("input!" &amp; $H$112 &amp; ":" &amp; $H$112),FirstRowInput+Integration*COUNT($B$114:B209)):INDEX(INDIRECT("input!" &amp; $H$112 &amp; ":" &amp; $H$112),FirstRowInput+Integration*COUNT($B$114:B209)+Integration-1))*$H$110,"")</f>
        <v>13612.206166825094</v>
      </c>
      <c r="I210" s="42">
        <v>98</v>
      </c>
      <c r="J210" s="74" t="str">
        <f t="shared" si="161"/>
        <v/>
      </c>
      <c r="K210" s="183"/>
      <c r="L210" s="183"/>
      <c r="M210" s="183"/>
      <c r="N210" s="183"/>
      <c r="O210" s="183" t="str">
        <f t="shared" si="170"/>
        <v/>
      </c>
      <c r="P210" s="183" t="str">
        <f t="shared" si="171"/>
        <v/>
      </c>
      <c r="Q210" s="183" t="str">
        <f t="shared" si="172"/>
        <v/>
      </c>
      <c r="R210" s="183" t="str">
        <f t="shared" si="173"/>
        <v/>
      </c>
      <c r="S210" s="81">
        <f t="shared" ca="1" si="192"/>
        <v>-1406.8612079557711</v>
      </c>
      <c r="T210" s="108">
        <f t="shared" ca="1" si="193"/>
        <v>754.38475769976503</v>
      </c>
      <c r="U210" s="108">
        <f t="shared" ca="1" si="194"/>
        <v>-6365.0328236009254</v>
      </c>
      <c r="V210" s="108">
        <f t="shared" ca="1" si="195"/>
        <v>3551.3104076893833</v>
      </c>
    </row>
    <row r="211" spans="1:22" s="14" customFormat="1" ht="15" customHeight="1" x14ac:dyDescent="0.15">
      <c r="A211" s="75">
        <f ca="1">IFERROR(IF(AND(MAX($A$114:A210)&gt;A210+1, MAX($A$114:A210)&gt;20),0,IF(AND(D211="",G211=""),0,IF(OR(D211&gt;LimitSignB10, G211&gt;LimitSignB11),A210+1,0))),"")</f>
        <v>17</v>
      </c>
      <c r="B211" s="76">
        <f ca="1">IFERROR(MyTime(INDEX(INDIRECT("input!"&amp;$B$112&amp;":"&amp;$B$112),FirstRowInput+Integration*COUNT($B$114:B210)) )* $B$110,"")</f>
        <v>3298.0838399999998</v>
      </c>
      <c r="C211" s="77">
        <f ca="1">IFERROR(AVERAGE(INDEX(INDIRECT("input!" &amp; $C$112 &amp; ":" &amp; $C$112),FirstRowInput+Integration*COUNT($B$114:B210)):INDEX(INDIRECT("input!" &amp; $C$112 &amp; ":" &amp; $C$112),FirstRowInput+Integration*COUNT($B$114:B210)+Integration-1))*$C$110,"")</f>
        <v>21806.845357523805</v>
      </c>
      <c r="D211" s="77">
        <f ca="1">IFERROR(AVERAGE(INDEX(INDIRECT("input!" &amp; $D$112 &amp; ":" &amp; $D$112),FirstRowInput+Integration*COUNT($B$114:B210)):INDEX(INDIRECT("input!" &amp; $D$112 &amp; ":" &amp; $D$112),FirstRowInput+Integration*COUNT($B$114:B210)+Integration-1))*$D$110,"")</f>
        <v>1633328.1327755372</v>
      </c>
      <c r="E211" s="77">
        <f ca="1">IFERROR(AVERAGE(INDEX(INDIRECT("input!" &amp; $E$112 &amp; ":" &amp; $E$112),FirstRowInput+Integration*COUNT($B$114:B210)):INDEX(INDIRECT("input!" &amp; $E$112 &amp; ":" &amp; $E$112),FirstRowInput+Integration*COUNT($B$114:B210)+Integration-1))*$E$110,"")</f>
        <v>19791.33182314704</v>
      </c>
      <c r="F211" s="77">
        <f ca="1">IFERROR(AVERAGE(INDEX(INDIRECT("input!" &amp; $F$112 &amp; ":" &amp; $F$112),FirstRowInput+Integration*COUNT($B$114:B210)):INDEX(INDIRECT("input!" &amp; $F$112 &amp; ":" &amp; $F$112),FirstRowInput+Integration*COUNT($B$114:B210)+Integration-1))*$F$110,"")</f>
        <v>4553.0000062631261</v>
      </c>
      <c r="G211" s="77">
        <f ca="1">IFERROR(AVERAGE(INDEX(INDIRECT("input!" &amp; $G$112 &amp; ":" &amp; $G$112),FirstRowInput+Integration*COUNT($B$114:B210)):INDEX(INDIRECT("input!" &amp; $G$112 &amp; ":" &amp; $G$112),FirstRowInput+Integration*COUNT($B$114:B210)+Integration-1))*$G$110,"")</f>
        <v>7373113.9414503789</v>
      </c>
      <c r="H211" s="77">
        <f ca="1">IFERROR(AVERAGE(INDEX(INDIRECT("input!" &amp; $H$112 &amp; ":" &amp; $H$112),FirstRowInput+Integration*COUNT($B$114:B210)):INDEX(INDIRECT("input!" &amp; $H$112 &amp; ":" &amp; $H$112),FirstRowInput+Integration*COUNT($B$114:B210)+Integration-1))*$H$110,"")</f>
        <v>23902.492409571358</v>
      </c>
      <c r="I211" s="42">
        <v>99</v>
      </c>
      <c r="J211" s="74" t="str">
        <f t="shared" si="161"/>
        <v/>
      </c>
      <c r="K211" s="183"/>
      <c r="L211" s="183"/>
      <c r="M211" s="183"/>
      <c r="N211" s="183"/>
      <c r="O211" s="183" t="str">
        <f t="shared" si="170"/>
        <v/>
      </c>
      <c r="P211" s="183" t="str">
        <f t="shared" si="171"/>
        <v/>
      </c>
      <c r="Q211" s="183" t="str">
        <f t="shared" si="172"/>
        <v/>
      </c>
      <c r="R211" s="183" t="str">
        <f t="shared" si="173"/>
        <v/>
      </c>
      <c r="S211" s="81">
        <f t="shared" ca="1" si="192"/>
        <v>829.92209107865619</v>
      </c>
      <c r="T211" s="108">
        <f t="shared" ca="1" si="193"/>
        <v>1686.8732206030909</v>
      </c>
      <c r="U211" s="108">
        <f t="shared" ca="1" si="194"/>
        <v>-42.351412978376175</v>
      </c>
      <c r="V211" s="108">
        <f t="shared" ca="1" si="195"/>
        <v>1702.1955951356886</v>
      </c>
    </row>
    <row r="212" spans="1:22" s="14" customFormat="1" ht="15" customHeight="1" x14ac:dyDescent="0.15">
      <c r="A212" s="75">
        <f ca="1">IFERROR(IF(AND(MAX($A$114:A211)&gt;A211+1, MAX($A$114:A211)&gt;20),0,IF(AND(D212="",G212=""),0,IF(OR(D212&gt;LimitSignB10, G212&gt;LimitSignB11),A211+1,0))),"")</f>
        <v>18</v>
      </c>
      <c r="B212" s="76">
        <f ca="1">IFERROR(MyTime(INDEX(INDIRECT("input!"&amp;$B$112&amp;":"&amp;$B$112),FirstRowInput+Integration*COUNT($B$114:B211)) )* $B$110,"")</f>
        <v>3298.1519360000002</v>
      </c>
      <c r="C212" s="77">
        <f ca="1">IFERROR(AVERAGE(INDEX(INDIRECT("input!" &amp; $C$112 &amp; ":" &amp; $C$112),FirstRowInput+Integration*COUNT($B$114:B211)):INDEX(INDIRECT("input!" &amp; $C$112 &amp; ":" &amp; $C$112),FirstRowInput+Integration*COUNT($B$114:B211)+Integration-1))*$C$110,"")</f>
        <v>20163.355239090397</v>
      </c>
      <c r="D212" s="77">
        <f ca="1">IFERROR(AVERAGE(INDEX(INDIRECT("input!" &amp; $D$112 &amp; ":" &amp; $D$112),FirstRowInput+Integration*COUNT($B$114:B211)):INDEX(INDIRECT("input!" &amp; $D$112 &amp; ":" &amp; $D$112),FirstRowInput+Integration*COUNT($B$114:B211)+Integration-1))*$D$110,"")</f>
        <v>1608381.1232782425</v>
      </c>
      <c r="E212" s="77">
        <f ca="1">IFERROR(AVERAGE(INDEX(INDIRECT("input!" &amp; $E$112 &amp; ":" &amp; $E$112),FirstRowInput+Integration*COUNT($B$114:B211)):INDEX(INDIRECT("input!" &amp; $E$112 &amp; ":" &amp; $E$112),FirstRowInput+Integration*COUNT($B$114:B211)+Integration-1))*$E$110,"")</f>
        <v>19998.559308906984</v>
      </c>
      <c r="F212" s="77">
        <f ca="1">IFERROR(AVERAGE(INDEX(INDIRECT("input!" &amp; $F$112 &amp; ":" &amp; $F$112),FirstRowInput+Integration*COUNT($B$114:B211)):INDEX(INDIRECT("input!" &amp; $F$112 &amp; ":" &amp; $F$112),FirstRowInput+Integration*COUNT($B$114:B211)+Integration-1))*$F$110,"")</f>
        <v>2423.6371088155265</v>
      </c>
      <c r="G212" s="77">
        <f ca="1">IFERROR(AVERAGE(INDEX(INDIRECT("input!" &amp; $G$112 &amp; ":" &amp; $G$112),FirstRowInput+Integration*COUNT($B$114:B211)):INDEX(INDIRECT("input!" &amp; $G$112 &amp; ":" &amp; $G$112),FirstRowInput+Integration*COUNT($B$114:B211)+Integration-1))*$G$110,"")</f>
        <v>7260908.0138357561</v>
      </c>
      <c r="H212" s="77">
        <f ca="1">IFERROR(AVERAGE(INDEX(INDIRECT("input!" &amp; $H$112 &amp; ":" &amp; $H$112),FirstRowInput+Integration*COUNT($B$114:B211)):INDEX(INDIRECT("input!" &amp; $H$112 &amp; ":" &amp; $H$112),FirstRowInput+Integration*COUNT($B$114:B211)+Integration-1))*$H$110,"")</f>
        <v>6334.9605340702519</v>
      </c>
      <c r="I212" s="42">
        <v>100</v>
      </c>
      <c r="J212" s="74" t="str">
        <f t="shared" si="161"/>
        <v/>
      </c>
      <c r="K212" s="183"/>
      <c r="L212" s="183"/>
      <c r="M212" s="183"/>
      <c r="N212" s="183"/>
      <c r="O212" s="183" t="str">
        <f t="shared" si="170"/>
        <v/>
      </c>
      <c r="P212" s="183" t="str">
        <f t="shared" si="171"/>
        <v/>
      </c>
      <c r="Q212" s="183" t="str">
        <f t="shared" si="172"/>
        <v/>
      </c>
      <c r="R212" s="183" t="str">
        <f t="shared" si="173"/>
        <v/>
      </c>
      <c r="S212" s="81">
        <f t="shared" ca="1" si="192"/>
        <v>-1787.4209417405641</v>
      </c>
      <c r="T212" s="108">
        <f t="shared" ca="1" si="193"/>
        <v>933.30685503011773</v>
      </c>
      <c r="U212" s="108">
        <f t="shared" ca="1" si="194"/>
        <v>-192.75349057650237</v>
      </c>
      <c r="V212" s="108">
        <f t="shared" ca="1" si="195"/>
        <v>-3382.0883929046258</v>
      </c>
    </row>
    <row r="213" spans="1:22" s="14" customFormat="1" ht="15" customHeight="1" x14ac:dyDescent="0.15">
      <c r="A213" s="75">
        <f ca="1">IFERROR(IF(AND(MAX($A$114:A212)&gt;A212+1, MAX($A$114:A212)&gt;20),0,IF(AND(D213="",G213=""),0,IF(OR(D213&gt;LimitSignB10, G213&gt;LimitSignB11),A212+1,0))),"")</f>
        <v>19</v>
      </c>
      <c r="B213" s="76">
        <f ca="1">IFERROR(MyTime(INDEX(INDIRECT("input!"&amp;$B$112&amp;":"&amp;$B$112),FirstRowInput+Integration*COUNT($B$114:B212)) )* $B$110,"")</f>
        <v>3298.2197760000004</v>
      </c>
      <c r="C213" s="77">
        <f ca="1">IFERROR(AVERAGE(INDEX(INDIRECT("input!" &amp; $C$112 &amp; ":" &amp; $C$112),FirstRowInput+Integration*COUNT($B$114:B212)):INDEX(INDIRECT("input!" &amp; $C$112 &amp; ":" &amp; $C$112),FirstRowInput+Integration*COUNT($B$114:B212)+Integration-1))*$C$110,"")</f>
        <v>20834.614732324349</v>
      </c>
      <c r="D213" s="77">
        <f ca="1">IFERROR(AVERAGE(INDEX(INDIRECT("input!" &amp; $D$112 &amp; ":" &amp; $D$112),FirstRowInput+Integration*COUNT($B$114:B212)):INDEX(INDIRECT("input!" &amp; $D$112 &amp; ":" &amp; $D$112),FirstRowInput+Integration*COUNT($B$114:B212)+Integration-1))*$D$110,"")</f>
        <v>1616809.4033717932</v>
      </c>
      <c r="E213" s="77">
        <f ca="1">IFERROR(AVERAGE(INDEX(INDIRECT("input!" &amp; $E$112 &amp; ":" &amp; $E$112),FirstRowInput+Integration*COUNT($B$114:B212)):INDEX(INDIRECT("input!" &amp; $E$112 &amp; ":" &amp; $E$112),FirstRowInput+Integration*COUNT($B$114:B212)+Integration-1))*$E$110,"")</f>
        <v>18284.199092001087</v>
      </c>
      <c r="F213" s="77">
        <f ca="1">IFERROR(AVERAGE(INDEX(INDIRECT("input!" &amp; $F$112 &amp; ":" &amp; $F$112),FirstRowInput+Integration*COUNT($B$114:B212)):INDEX(INDIRECT("input!" &amp; $F$112 &amp; ":" &amp; $F$112),FirstRowInput+Integration*COUNT($B$114:B212)+Integration-1))*$F$110,"")</f>
        <v>25069.703540229191</v>
      </c>
      <c r="G213" s="77">
        <f ca="1">IFERROR(AVERAGE(INDEX(INDIRECT("input!" &amp; $G$112 &amp; ":" &amp; $G$112),FirstRowInput+Integration*COUNT($B$114:B212)):INDEX(INDIRECT("input!" &amp; $G$112 &amp; ":" &amp; $G$112),FirstRowInput+Integration*COUNT($B$114:B212)+Integration-1))*$G$110,"")</f>
        <v>7302453.3134633191</v>
      </c>
      <c r="H213" s="77">
        <f ca="1">IFERROR(AVERAGE(INDEX(INDIRECT("input!" &amp; $H$112 &amp; ":" &amp; $H$112),FirstRowInput+Integration*COUNT($B$114:B212)):INDEX(INDIRECT("input!" &amp; $H$112 &amp; ":" &amp; $H$112),FirstRowInput+Integration*COUNT($B$114:B212)+Integration-1))*$H$110,"")</f>
        <v>8064.8617291640112</v>
      </c>
      <c r="I213" s="42">
        <v>101</v>
      </c>
      <c r="J213" s="74" t="str">
        <f t="shared" si="161"/>
        <v/>
      </c>
      <c r="K213" s="183"/>
      <c r="L213" s="183"/>
      <c r="M213" s="183"/>
      <c r="N213" s="183"/>
      <c r="O213" s="183" t="str">
        <f t="shared" si="170"/>
        <v/>
      </c>
      <c r="P213" s="183" t="str">
        <f t="shared" si="171"/>
        <v/>
      </c>
      <c r="Q213" s="183" t="str">
        <f t="shared" si="172"/>
        <v/>
      </c>
      <c r="R213" s="183" t="str">
        <f t="shared" si="173"/>
        <v/>
      </c>
      <c r="S213" s="81">
        <f t="shared" ca="1" si="192"/>
        <v>3234.8697679362267</v>
      </c>
      <c r="T213" s="108">
        <f t="shared" ca="1" si="193"/>
        <v>451.90411459469033</v>
      </c>
      <c r="U213" s="108">
        <f t="shared" ca="1" si="194"/>
        <v>7189.9477846891969</v>
      </c>
      <c r="V213" s="108">
        <f t="shared" ca="1" si="195"/>
        <v>-720.20824881674343</v>
      </c>
    </row>
    <row r="214" spans="1:22" s="14" customFormat="1" ht="15" customHeight="1" x14ac:dyDescent="0.15">
      <c r="A214" s="75">
        <f ca="1">IFERROR(IF(AND(MAX($A$114:A213)&gt;A213+1, MAX($A$114:A213)&gt;20),0,IF(AND(D214="",G214=""),0,IF(OR(D214&gt;LimitSignB10, G214&gt;LimitSignB11),A213+1,0))),"")</f>
        <v>20</v>
      </c>
      <c r="B214" s="76">
        <f ca="1">IFERROR(MyTime(INDEX(INDIRECT("input!"&amp;$B$112&amp;":"&amp;$B$112),FirstRowInput+Integration*COUNT($B$114:B213)) )* $B$110,"")</f>
        <v>3298.2878719999999</v>
      </c>
      <c r="C214" s="77">
        <f ca="1">IFERROR(AVERAGE(INDEX(INDIRECT("input!" &amp; $C$112 &amp; ":" &amp; $C$112),FirstRowInput+Integration*COUNT($B$114:B213)):INDEX(INDIRECT("input!" &amp; $C$112 &amp; ":" &amp; $C$112),FirstRowInput+Integration*COUNT($B$114:B213)+Integration-1))*$C$110,"")</f>
        <v>20907.333571535983</v>
      </c>
      <c r="D214" s="77">
        <f ca="1">IFERROR(AVERAGE(INDEX(INDIRECT("input!" &amp; $D$112 &amp; ":" &amp; $D$112),FirstRowInput+Integration*COUNT($B$114:B213)):INDEX(INDIRECT("input!" &amp; $D$112 &amp; ":" &amp; $D$112),FirstRowInput+Integration*COUNT($B$114:B213)+Integration-1))*$D$110,"")</f>
        <v>1600934.8198306696</v>
      </c>
      <c r="E214" s="77">
        <f ca="1">IFERROR(AVERAGE(INDEX(INDIRECT("input!" &amp; $E$112 &amp; ":" &amp; $E$112),FirstRowInput+Integration*COUNT($B$114:B213)):INDEX(INDIRECT("input!" &amp; $E$112 &amp; ":" &amp; $E$112),FirstRowInput+Integration*COUNT($B$114:B213)+Integration-1))*$E$110,"")</f>
        <v>19035.75382803613</v>
      </c>
      <c r="F214" s="77">
        <f ca="1">IFERROR(AVERAGE(INDEX(INDIRECT("input!" &amp; $F$112 &amp; ":" &amp; $F$112),FirstRowInput+Integration*COUNT($B$114:B213)):INDEX(INDIRECT("input!" &amp; $F$112 &amp; ":" &amp; $F$112),FirstRowInput+Integration*COUNT($B$114:B213)+Integration-1))*$F$110,"")</f>
        <v>4101.7937734687494</v>
      </c>
      <c r="G214" s="77">
        <f ca="1">IFERROR(AVERAGE(INDEX(INDIRECT("input!" &amp; $G$112 &amp; ":" &amp; $G$112),FirstRowInput+Integration*COUNT($B$114:B213)):INDEX(INDIRECT("input!" &amp; $G$112 &amp; ":" &amp; $G$112),FirstRowInput+Integration*COUNT($B$114:B213)+Integration-1))*$G$110,"")</f>
        <v>7245006.036329194</v>
      </c>
      <c r="H214" s="77">
        <f ca="1">IFERROR(AVERAGE(INDEX(INDIRECT("input!" &amp; $H$112 &amp; ":" &amp; $H$112),FirstRowInput+Integration*COUNT($B$114:B213)):INDEX(INDIRECT("input!" &amp; $H$112 &amp; ":" &amp; $H$112),FirstRowInput+Integration*COUNT($B$114:B213)+Integration-1))*$H$110,"")</f>
        <v>8649.64044545041</v>
      </c>
      <c r="I214" s="42">
        <v>102</v>
      </c>
      <c r="J214" s="74" t="str">
        <f t="shared" si="161"/>
        <v/>
      </c>
      <c r="K214" s="183"/>
      <c r="L214" s="183"/>
      <c r="M214" s="183"/>
      <c r="N214" s="183"/>
      <c r="O214" s="183" t="str">
        <f t="shared" si="170"/>
        <v/>
      </c>
      <c r="P214" s="183" t="str">
        <f t="shared" si="171"/>
        <v/>
      </c>
      <c r="Q214" s="183" t="str">
        <f t="shared" si="172"/>
        <v/>
      </c>
      <c r="R214" s="183" t="str">
        <f t="shared" si="173"/>
        <v/>
      </c>
      <c r="S214" s="81">
        <f t="shared" ca="1" si="192"/>
        <v>669.22025835817567</v>
      </c>
      <c r="T214" s="108">
        <f t="shared" ca="1" si="193"/>
        <v>494.60514698272891</v>
      </c>
      <c r="U214" s="108">
        <f t="shared" ca="1" si="194"/>
        <v>106.15943544261791</v>
      </c>
      <c r="V214" s="108">
        <f t="shared" ca="1" si="195"/>
        <v>1232.2810812737334</v>
      </c>
    </row>
    <row r="215" spans="1:22" s="14" customFormat="1" ht="15" customHeight="1" x14ac:dyDescent="0.15">
      <c r="A215" s="75">
        <f ca="1">IFERROR(IF(AND(MAX($A$114:A214)&gt;A214+1, MAX($A$114:A214)&gt;20),0,IF(AND(D215="",G215=""),0,IF(OR(D215&gt;LimitSignB10, G215&gt;LimitSignB11),A214+1,0))),"")</f>
        <v>21</v>
      </c>
      <c r="B215" s="76">
        <f ca="1">IFERROR(MyTime(INDEX(INDIRECT("input!"&amp;$B$112&amp;":"&amp;$B$112),FirstRowInput+Integration*COUNT($B$114:B214)) )* $B$110,"")</f>
        <v>3298.3559679999998</v>
      </c>
      <c r="C215" s="77">
        <f ca="1">IFERROR(AVERAGE(INDEX(INDIRECT("input!" &amp; $C$112 &amp; ":" &amp; $C$112),FirstRowInput+Integration*COUNT($B$114:B214)):INDEX(INDIRECT("input!" &amp; $C$112 &amp; ":" &amp; $C$112),FirstRowInput+Integration*COUNT($B$114:B214)+Integration-1))*$C$110,"")</f>
        <v>19210.894775068089</v>
      </c>
      <c r="D215" s="77">
        <f ca="1">IFERROR(AVERAGE(INDEX(INDIRECT("input!" &amp; $D$112 &amp; ":" &amp; $D$112),FirstRowInput+Integration*COUNT($B$114:B214)):INDEX(INDIRECT("input!" &amp; $D$112 &amp; ":" &amp; $D$112),FirstRowInput+Integration*COUNT($B$114:B214)+Integration-1))*$D$110,"")</f>
        <v>1593452.8885570029</v>
      </c>
      <c r="E215" s="77">
        <f ca="1">IFERROR(AVERAGE(INDEX(INDIRECT("input!" &amp; $E$112 &amp; ":" &amp; $E$112),FirstRowInput+Integration*COUNT($B$114:B214)):INDEX(INDIRECT("input!" &amp; $E$112 &amp; ":" &amp; $E$112),FirstRowInput+Integration*COUNT($B$114:B214)+Integration-1))*$E$110,"")</f>
        <v>18369.601156777167</v>
      </c>
      <c r="F215" s="77">
        <f ca="1">IFERROR(AVERAGE(INDEX(INDIRECT("input!" &amp; $F$112 &amp; ":" &amp; $F$112),FirstRowInput+Integration*COUNT($B$114:B214)):INDEX(INDIRECT("input!" &amp; $F$112 &amp; ":" &amp; $F$112),FirstRowInput+Integration*COUNT($B$114:B214)+Integration-1))*$F$110,"")</f>
        <v>24571.740934612622</v>
      </c>
      <c r="G215" s="77">
        <f ca="1">IFERROR(AVERAGE(INDEX(INDIRECT("input!" &amp; $G$112 &amp; ":" &amp; $G$112),FirstRowInput+Integration*COUNT($B$114:B214)):INDEX(INDIRECT("input!" &amp; $G$112 &amp; ":" &amp; $G$112),FirstRowInput+Integration*COUNT($B$114:B214)+Integration-1))*$G$110,"")</f>
        <v>7212909.0398778822</v>
      </c>
      <c r="H215" s="77">
        <f ca="1">IFERROR(AVERAGE(INDEX(INDIRECT("input!" &amp; $H$112 &amp; ":" &amp; $H$112),FirstRowInput+Integration*COUNT($B$114:B214)):INDEX(INDIRECT("input!" &amp; $H$112 &amp; ":" &amp; $H$112),FirstRowInput+Integration*COUNT($B$114:B214)+Integration-1))*$H$110,"")</f>
        <v>14320.600966333897</v>
      </c>
      <c r="I215" s="42">
        <v>103</v>
      </c>
      <c r="J215" s="74" t="str">
        <f t="shared" si="161"/>
        <v/>
      </c>
      <c r="K215" s="183"/>
      <c r="L215" s="183"/>
      <c r="M215" s="183"/>
      <c r="N215" s="183"/>
      <c r="O215" s="183" t="str">
        <f t="shared" si="170"/>
        <v/>
      </c>
      <c r="P215" s="183" t="str">
        <f t="shared" si="171"/>
        <v/>
      </c>
      <c r="Q215" s="183" t="str">
        <f t="shared" si="172"/>
        <v/>
      </c>
      <c r="R215" s="183" t="str">
        <f t="shared" si="173"/>
        <v/>
      </c>
      <c r="S215" s="81">
        <f t="shared" ca="1" si="192"/>
        <v>2462.692545528289</v>
      </c>
      <c r="T215" s="108">
        <f t="shared" ca="1" si="193"/>
        <v>322.58815937094914</v>
      </c>
      <c r="U215" s="108">
        <f t="shared" ca="1" si="194"/>
        <v>-1438.059948651704</v>
      </c>
      <c r="V215" s="108">
        <f t="shared" ca="1" si="195"/>
        <v>6363.4450397082819</v>
      </c>
    </row>
    <row r="216" spans="1:22" s="14" customFormat="1" ht="15" customHeight="1" x14ac:dyDescent="0.15">
      <c r="A216" s="75">
        <f ca="1">IFERROR(IF(AND(MAX($A$114:A215)&gt;A215+1, MAX($A$114:A215)&gt;20),0,IF(AND(D216="",G216=""),0,IF(OR(D216&gt;LimitSignB10, G216&gt;LimitSignB11),A215+1,0))),"")</f>
        <v>22</v>
      </c>
      <c r="B216" s="76">
        <f ca="1">IFERROR(MyTime(INDEX(INDIRECT("input!"&amp;$B$112&amp;":"&amp;$B$112),FirstRowInput+Integration*COUNT($B$114:B215)) )* $B$110,"")</f>
        <v>3298.4243200000001</v>
      </c>
      <c r="C216" s="77">
        <f ca="1">IFERROR(AVERAGE(INDEX(INDIRECT("input!" &amp; $C$112 &amp; ":" &amp; $C$112),FirstRowInput+Integration*COUNT($B$114:B215)):INDEX(INDIRECT("input!" &amp; $C$112 &amp; ":" &amp; $C$112),FirstRowInput+Integration*COUNT($B$114:B215)+Integration-1))*$C$110,"")</f>
        <v>17397.010182154823</v>
      </c>
      <c r="D216" s="77">
        <f ca="1">IFERROR(AVERAGE(INDEX(INDIRECT("input!" &amp; $D$112 &amp; ":" &amp; $D$112),FirstRowInput+Integration*COUNT($B$114:B215)):INDEX(INDIRECT("input!" &amp; $D$112 &amp; ":" &amp; $D$112),FirstRowInput+Integration*COUNT($B$114:B215)+Integration-1))*$D$110,"")</f>
        <v>1603099.7211171696</v>
      </c>
      <c r="E216" s="77">
        <f ca="1">IFERROR(AVERAGE(INDEX(INDIRECT("input!" &amp; $E$112 &amp; ":" &amp; $E$112),FirstRowInput+Integration*COUNT($B$114:B215)):INDEX(INDIRECT("input!" &amp; $E$112 &amp; ":" &amp; $E$112),FirstRowInput+Integration*COUNT($B$114:B215)+Integration-1))*$E$110,"")</f>
        <v>18691.719852812574</v>
      </c>
      <c r="F216" s="77">
        <f ca="1">IFERROR(AVERAGE(INDEX(INDIRECT("input!" &amp; $F$112 &amp; ":" &amp; $F$112),FirstRowInput+Integration*COUNT($B$114:B215)):INDEX(INDIRECT("input!" &amp; $F$112 &amp; ":" &amp; $F$112),FirstRowInput+Integration*COUNT($B$114:B215)+Integration-1))*$F$110,"")</f>
        <v>3818.338492489454</v>
      </c>
      <c r="G216" s="77">
        <f ca="1">IFERROR(AVERAGE(INDEX(INDIRECT("input!" &amp; $G$112 &amp; ":" &amp; $G$112),FirstRowInput+Integration*COUNT($B$114:B215)):INDEX(INDIRECT("input!" &amp; $G$112 &amp; ":" &amp; $G$112),FirstRowInput+Integration*COUNT($B$114:B215)+Integration-1))*$G$110,"")</f>
        <v>7240507.6268101819</v>
      </c>
      <c r="H216" s="77">
        <f ca="1">IFERROR(AVERAGE(INDEX(INDIRECT("input!" &amp; $H$112 &amp; ":" &amp; $H$112),FirstRowInput+Integration*COUNT($B$114:B215)):INDEX(INDIRECT("input!" &amp; $H$112 &amp; ":" &amp; $H$112),FirstRowInput+Integration*COUNT($B$114:B215)+Integration-1))*$H$110,"")</f>
        <v>13922.329719435447</v>
      </c>
      <c r="I216" s="42">
        <v>104</v>
      </c>
      <c r="J216" s="74" t="str">
        <f t="shared" si="161"/>
        <v/>
      </c>
      <c r="K216" s="183"/>
      <c r="L216" s="183"/>
      <c r="M216" s="183"/>
      <c r="N216" s="183"/>
      <c r="O216" s="183"/>
      <c r="P216" s="183"/>
      <c r="Q216" s="183"/>
      <c r="R216" s="183"/>
      <c r="S216" s="81">
        <f t="shared" ca="1" si="192"/>
        <v>-246.58111905029091</v>
      </c>
      <c r="T216" s="108">
        <f t="shared" ca="1" si="193"/>
        <v>455.83306409840952</v>
      </c>
      <c r="U216" s="108">
        <f t="shared" ca="1" si="194"/>
        <v>-6278.2046385241847</v>
      </c>
      <c r="V216" s="108">
        <f t="shared" ca="1" si="195"/>
        <v>5785.0424004236029</v>
      </c>
    </row>
    <row r="217" spans="1:22" s="14" customFormat="1" ht="15" customHeight="1" x14ac:dyDescent="0.15">
      <c r="A217" s="75">
        <f ca="1">IFERROR(IF(AND(MAX($A$114:A216)&gt;A216+1, MAX($A$114:A216)&gt;20),0,IF(AND(D217="",G217=""),0,IF(OR(D217&gt;LimitSignB10, G217&gt;LimitSignB11),A216+1,0))),"")</f>
        <v>23</v>
      </c>
      <c r="B217" s="76">
        <f ca="1">IFERROR(MyTime(INDEX(INDIRECT("input!"&amp;$B$112&amp;":"&amp;$B$112),FirstRowInput+Integration*COUNT($B$114:B216)) )* $B$110,"")</f>
        <v>3298.492416</v>
      </c>
      <c r="C217" s="77">
        <f ca="1">IFERROR(AVERAGE(INDEX(INDIRECT("input!" &amp; $C$112 &amp; ":" &amp; $C$112),FirstRowInput+Integration*COUNT($B$114:B216)):INDEX(INDIRECT("input!" &amp; $C$112 &amp; ":" &amp; $C$112),FirstRowInput+Integration*COUNT($B$114:B216)+Integration-1))*$C$110,"")</f>
        <v>21431.113658865517</v>
      </c>
      <c r="D217" s="77">
        <f ca="1">IFERROR(AVERAGE(INDEX(INDIRECT("input!" &amp; $D$112 &amp; ":" &amp; $D$112),FirstRowInput+Integration*COUNT($B$114:B216)):INDEX(INDIRECT("input!" &amp; $D$112 &amp; ":" &amp; $D$112),FirstRowInput+Integration*COUNT($B$114:B216)+Integration-1))*$D$110,"")</f>
        <v>1617451.9051739068</v>
      </c>
      <c r="E217" s="77">
        <f ca="1">IFERROR(AVERAGE(INDEX(INDIRECT("input!" &amp; $E$112 &amp; ":" &amp; $E$112),FirstRowInput+Integration*COUNT($B$114:B216)):INDEX(INDIRECT("input!" &amp; $E$112 &amp; ":" &amp; $E$112),FirstRowInput+Integration*COUNT($B$114:B216)+Integration-1))*$E$110,"")</f>
        <v>18636.090966232085</v>
      </c>
      <c r="F217" s="77">
        <f ca="1">IFERROR(AVERAGE(INDEX(INDIRECT("input!" &amp; $F$112 &amp; ":" &amp; $F$112),FirstRowInput+Integration*COUNT($B$114:B216)):INDEX(INDIRECT("input!" &amp; $F$112 &amp; ":" &amp; $F$112),FirstRowInput+Integration*COUNT($B$114:B216)+Integration-1))*$F$110,"")</f>
        <v>-530.86437881421045</v>
      </c>
      <c r="G217" s="77">
        <f ca="1">IFERROR(AVERAGE(INDEX(INDIRECT("input!" &amp; $G$112 &amp; ":" &amp; $G$112),FirstRowInput+Integration*COUNT($B$114:B216)):INDEX(INDIRECT("input!" &amp; $G$112 &amp; ":" &amp; $G$112),FirstRowInput+Integration*COUNT($B$114:B216)+Integration-1))*$G$110,"")</f>
        <v>7309633.1265591504</v>
      </c>
      <c r="H217" s="77">
        <f ca="1">IFERROR(AVERAGE(INDEX(INDIRECT("input!" &amp; $H$112 &amp; ":" &amp; $H$112),FirstRowInput+Integration*COUNT($B$114:B216)):INDEX(INDIRECT("input!" &amp; $H$112 &amp; ":" &amp; $H$112),FirstRowInput+Integration*COUNT($B$114:B216)+Integration-1))*$H$110,"")</f>
        <v>24043.132320754059</v>
      </c>
      <c r="I217" s="42">
        <v>105</v>
      </c>
      <c r="J217" s="74" t="str">
        <f t="shared" si="161"/>
        <v/>
      </c>
      <c r="K217" s="183"/>
      <c r="L217" s="183"/>
      <c r="M217" s="183"/>
      <c r="N217" s="183"/>
      <c r="O217" s="183"/>
      <c r="P217" s="183"/>
      <c r="Q217" s="183"/>
      <c r="R217" s="183"/>
      <c r="S217" s="81">
        <f t="shared" ca="1" si="192"/>
        <v>271.5457118247914</v>
      </c>
      <c r="T217" s="108">
        <f t="shared" ca="1" si="193"/>
        <v>-660.85798033528408</v>
      </c>
      <c r="U217" s="108">
        <f t="shared" ca="1" si="194"/>
        <v>-1474.6051539649507</v>
      </c>
      <c r="V217" s="108">
        <f t="shared" ca="1" si="195"/>
        <v>2017.6965776145335</v>
      </c>
    </row>
    <row r="218" spans="1:22" s="14" customFormat="1" ht="15" customHeight="1" x14ac:dyDescent="0.15">
      <c r="A218" s="75">
        <f ca="1">IFERROR(IF(AND(MAX($A$114:A217)&gt;A217+1, MAX($A$114:A217)&gt;20),0,IF(AND(D218="",G218=""),0,IF(OR(D218&gt;LimitSignB10, G218&gt;LimitSignB11),A217+1,0))),"")</f>
        <v>24</v>
      </c>
      <c r="B218" s="76">
        <f ca="1">IFERROR(MyTime(INDEX(INDIRECT("input!"&amp;$B$112&amp;":"&amp;$B$112),FirstRowInput+Integration*COUNT($B$114:B217)) )* $B$110,"")</f>
        <v>3298.560512</v>
      </c>
      <c r="C218" s="77">
        <f ca="1">IFERROR(AVERAGE(INDEX(INDIRECT("input!" &amp; $C$112 &amp; ":" &amp; $C$112),FirstRowInput+Integration*COUNT($B$114:B217)):INDEX(INDIRECT("input!" &amp; $C$112 &amp; ":" &amp; $C$112),FirstRowInput+Integration*COUNT($B$114:B217)+Integration-1))*$C$110,"")</f>
        <v>22195.231825985713</v>
      </c>
      <c r="D218" s="77">
        <f ca="1">IFERROR(AVERAGE(INDEX(INDIRECT("input!" &amp; $D$112 &amp; ":" &amp; $D$112),FirstRowInput+Integration*COUNT($B$114:B217)):INDEX(INDIRECT("input!" &amp; $D$112 &amp; ":" &amp; $D$112),FirstRowInput+Integration*COUNT($B$114:B217)+Integration-1))*$D$110,"")</f>
        <v>1622683.3553083795</v>
      </c>
      <c r="E218" s="77">
        <f ca="1">IFERROR(AVERAGE(INDEX(INDIRECT("input!" &amp; $E$112 &amp; ":" &amp; $E$112),FirstRowInput+Integration*COUNT($B$114:B217)):INDEX(INDIRECT("input!" &amp; $E$112 &amp; ":" &amp; $E$112),FirstRowInput+Integration*COUNT($B$114:B217)+Integration-1))*$E$110,"")</f>
        <v>16458.337763945186</v>
      </c>
      <c r="F218" s="77">
        <f ca="1">IFERROR(AVERAGE(INDEX(INDIRECT("input!" &amp; $F$112 &amp; ":" &amp; $F$112),FirstRowInput+Integration*COUNT($B$114:B217)):INDEX(INDIRECT("input!" &amp; $F$112 &amp; ":" &amp; $F$112),FirstRowInput+Integration*COUNT($B$114:B217)+Integration-1))*$F$110,"")</f>
        <v>10051.306864995177</v>
      </c>
      <c r="G218" s="77">
        <f ca="1">IFERROR(AVERAGE(INDEX(INDIRECT("input!" &amp; $G$112 &amp; ":" &amp; $G$112),FirstRowInput+Integration*COUNT($B$114:B217)):INDEX(INDIRECT("input!" &amp; $G$112 &amp; ":" &amp; $G$112),FirstRowInput+Integration*COUNT($B$114:B217)+Integration-1))*$G$110,"")</f>
        <v>7348890.2309191823</v>
      </c>
      <c r="H218" s="77">
        <f ca="1">IFERROR(AVERAGE(INDEX(INDIRECT("input!" &amp; $H$112 &amp; ":" &amp; $H$112),FirstRowInput+Integration*COUNT($B$114:B217)):INDEX(INDIRECT("input!" &amp; $H$112 &amp; ":" &amp; $H$112),FirstRowInput+Integration*COUNT($B$114:B217)+Integration-1))*$H$110,"")</f>
        <v>12585.393048479847</v>
      </c>
      <c r="I218" s="42">
        <v>106</v>
      </c>
      <c r="J218" s="74" t="str">
        <f t="shared" si="161"/>
        <v/>
      </c>
      <c r="K218" s="183"/>
      <c r="L218" s="183"/>
      <c r="M218" s="183"/>
      <c r="N218" s="183"/>
      <c r="O218" s="183"/>
      <c r="P218" s="183"/>
      <c r="Q218" s="183"/>
      <c r="R218" s="183"/>
      <c r="S218" s="81">
        <f t="shared" ca="1" si="192"/>
        <v>-375.43241150702306</v>
      </c>
      <c r="T218" s="108">
        <f t="shared" ca="1" si="193"/>
        <v>-324.43268996395273</v>
      </c>
      <c r="U218" s="108">
        <f t="shared" ca="1" si="194"/>
        <v>1608.36991931991</v>
      </c>
      <c r="V218" s="108">
        <f t="shared" ca="1" si="195"/>
        <v>-2359.2347423339561</v>
      </c>
    </row>
    <row r="219" spans="1:22" s="14" customFormat="1" ht="15" customHeight="1" x14ac:dyDescent="0.15">
      <c r="A219" s="75">
        <f ca="1">IFERROR(IF(AND(MAX($A$114:A218)&gt;A218+1, MAX($A$114:A218)&gt;20),0,IF(AND(D219="",G219=""),0,IF(OR(D219&gt;LimitSignB10, G219&gt;LimitSignB11),A218+1,0))),"")</f>
        <v>25</v>
      </c>
      <c r="B219" s="76">
        <f ca="1">IFERROR(MyTime(INDEX(INDIRECT("input!"&amp;$B$112&amp;":"&amp;$B$112),FirstRowInput+Integration*COUNT($B$114:B218)) )* $B$110,"")</f>
        <v>3298.628608</v>
      </c>
      <c r="C219" s="77">
        <f ca="1">IFERROR(AVERAGE(INDEX(INDIRECT("input!" &amp; $C$112 &amp; ":" &amp; $C$112),FirstRowInput+Integration*COUNT($B$114:B218)):INDEX(INDIRECT("input!" &amp; $C$112 &amp; ":" &amp; $C$112),FirstRowInput+Integration*COUNT($B$114:B218)+Integration-1))*$C$110,"")</f>
        <v>20909.101696436992</v>
      </c>
      <c r="D219" s="77">
        <f ca="1">IFERROR(AVERAGE(INDEX(INDIRECT("input!" &amp; $D$112 &amp; ":" &amp; $D$112),FirstRowInput+Integration*COUNT($B$114:B218)):INDEX(INDIRECT("input!" &amp; $D$112 &amp; ":" &amp; $D$112),FirstRowInput+Integration*COUNT($B$114:B218)+Integration-1))*$D$110,"")</f>
        <v>1617114.0351445687</v>
      </c>
      <c r="E219" s="77">
        <f ca="1">IFERROR(AVERAGE(INDEX(INDIRECT("input!" &amp; $E$112 &amp; ":" &amp; $E$112),FirstRowInput+Integration*COUNT($B$114:B218)):INDEX(INDIRECT("input!" &amp; $E$112 &amp; ":" &amp; $E$112),FirstRowInput+Integration*COUNT($B$114:B218)+Integration-1))*$E$110,"")</f>
        <v>19308.941546974747</v>
      </c>
      <c r="F219" s="77">
        <f ca="1">IFERROR(AVERAGE(INDEX(INDIRECT("input!" &amp; $F$112 &amp; ":" &amp; $F$112),FirstRowInput+Integration*COUNT($B$114:B218)):INDEX(INDIRECT("input!" &amp; $F$112 &amp; ":" &amp; $F$112),FirstRowInput+Integration*COUNT($B$114:B218)+Integration-1))*$F$110,"")</f>
        <v>18229.13694616716</v>
      </c>
      <c r="G219" s="77">
        <f ca="1">IFERROR(AVERAGE(INDEX(INDIRECT("input!" &amp; $G$112 &amp; ":" &amp; $G$112),FirstRowInput+Integration*COUNT($B$114:B218)):INDEX(INDIRECT("input!" &amp; $G$112 &amp; ":" &amp; $G$112),FirstRowInput+Integration*COUNT($B$114:B218)+Integration-1))*$G$110,"")</f>
        <v>7323404.8257642472</v>
      </c>
      <c r="H219" s="77">
        <f ca="1">IFERROR(AVERAGE(INDEX(INDIRECT("input!" &amp; $H$112 &amp; ":" &amp; $H$112),FirstRowInput+Integration*COUNT($B$114:B218)):INDEX(INDIRECT("input!" &amp; $H$112 &amp; ":" &amp; $H$112),FirstRowInput+Integration*COUNT($B$114:B218)+Integration-1))*$H$110,"")</f>
        <v>2620.2922510082508</v>
      </c>
      <c r="I219" s="42">
        <v>107</v>
      </c>
      <c r="J219" s="74" t="str">
        <f t="shared" si="161"/>
        <v/>
      </c>
      <c r="K219" s="183"/>
      <c r="L219" s="183"/>
      <c r="M219" s="183"/>
      <c r="N219" s="183"/>
      <c r="O219" s="183"/>
      <c r="P219" s="183"/>
      <c r="Q219" s="183"/>
      <c r="R219" s="183"/>
      <c r="S219" s="81">
        <f t="shared" ca="1" si="192"/>
        <v>577.92217087912559</v>
      </c>
      <c r="T219" s="108">
        <f t="shared" ca="1" si="193"/>
        <v>1227.1979754165513</v>
      </c>
      <c r="U219" s="108">
        <f t="shared" ca="1" si="194"/>
        <v>2605.2623377536129</v>
      </c>
      <c r="V219" s="108">
        <f t="shared" ca="1" si="195"/>
        <v>-1449.4179959953617</v>
      </c>
    </row>
    <row r="220" spans="1:22" s="14" customFormat="1" ht="15" customHeight="1" x14ac:dyDescent="0.15">
      <c r="A220" s="75">
        <f ca="1">IFERROR(IF(AND(MAX($A$114:A219)&gt;A219+1, MAX($A$114:A219)&gt;20),0,IF(AND(D220="",G220=""),0,IF(OR(D220&gt;LimitSignB10, G220&gt;LimitSignB11),A219+1,0))),"")</f>
        <v>26</v>
      </c>
      <c r="B220" s="76">
        <f ca="1">IFERROR(MyTime(INDEX(INDIRECT("input!"&amp;$B$112&amp;":"&amp;$B$112),FirstRowInput+Integration*COUNT($B$114:B219)) )* $B$110,"")</f>
        <v>3298.6964480000001</v>
      </c>
      <c r="C220" s="77">
        <f ca="1">IFERROR(AVERAGE(INDEX(INDIRECT("input!" &amp; $C$112 &amp; ":" &amp; $C$112),FirstRowInput+Integration*COUNT($B$114:B219)):INDEX(INDIRECT("input!" &amp; $C$112 &amp; ":" &amp; $C$112),FirstRowInput+Integration*COUNT($B$114:B219)+Integration-1))*$C$110,"")</f>
        <v>18981.437462677746</v>
      </c>
      <c r="D220" s="77">
        <f ca="1">IFERROR(AVERAGE(INDEX(INDIRECT("input!" &amp; $D$112 &amp; ":" &amp; $D$112),FirstRowInput+Integration*COUNT($B$114:B219)):INDEX(INDIRECT("input!" &amp; $D$112 &amp; ":" &amp; $D$112),FirstRowInput+Integration*COUNT($B$114:B219)+Integration-1))*$D$110,"")</f>
        <v>1606403.41559168</v>
      </c>
      <c r="E220" s="77">
        <f ca="1">IFERROR(AVERAGE(INDEX(INDIRECT("input!" &amp; $E$112 &amp; ":" &amp; $E$112),FirstRowInput+Integration*COUNT($B$114:B219)):INDEX(INDIRECT("input!" &amp; $E$112 &amp; ":" &amp; $E$112),FirstRowInput+Integration*COUNT($B$114:B219)+Integration-1))*$E$110,"")</f>
        <v>19561.599094706198</v>
      </c>
      <c r="F220" s="77">
        <f ca="1">IFERROR(AVERAGE(INDEX(INDIRECT("input!" &amp; $F$112 &amp; ":" &amp; $F$112),FirstRowInput+Integration*COUNT($B$114:B219)):INDEX(INDIRECT("input!" &amp; $F$112 &amp; ":" &amp; $F$112),FirstRowInput+Integration*COUNT($B$114:B219)+Integration-1))*$F$110,"")</f>
        <v>8718.0608410403656</v>
      </c>
      <c r="G220" s="77">
        <f ca="1">IFERROR(AVERAGE(INDEX(INDIRECT("input!" &amp; $G$112 &amp; ":" &amp; $G$112),FirstRowInput+Integration*COUNT($B$114:B219)):INDEX(INDIRECT("input!" &amp; $G$112 &amp; ":" &amp; $G$112),FirstRowInput+Integration*COUNT($B$114:B219)+Integration-1))*$G$110,"")</f>
        <v>7263325.7202574853</v>
      </c>
      <c r="H220" s="77">
        <f ca="1">IFERROR(AVERAGE(INDEX(INDIRECT("input!" &amp; $H$112 &amp; ":" &amp; $H$112),FirstRowInput+Integration*COUNT($B$114:B219)):INDEX(INDIRECT("input!" &amp; $H$112 &amp; ":" &amp; $H$112),FirstRowInput+Integration*COUNT($B$114:B219)+Integration-1))*$H$110,"")</f>
        <v>10912.338360908587</v>
      </c>
      <c r="I220" s="42">
        <v>108</v>
      </c>
      <c r="J220" s="74" t="str">
        <f t="shared" si="161"/>
        <v/>
      </c>
      <c r="K220" s="183"/>
      <c r="L220" s="183"/>
      <c r="M220" s="183"/>
      <c r="N220" s="183"/>
      <c r="O220" s="183"/>
      <c r="P220" s="183"/>
      <c r="Q220" s="183"/>
      <c r="R220" s="183"/>
      <c r="S220" s="81">
        <f t="shared" ca="1" si="192"/>
        <v>-467.20161513542735</v>
      </c>
      <c r="T220" s="108">
        <f t="shared" ca="1" si="193"/>
        <v>393.74797996401685</v>
      </c>
      <c r="U220" s="108">
        <f t="shared" ca="1" si="194"/>
        <v>-1518.0202254155793</v>
      </c>
      <c r="V220" s="108">
        <f t="shared" ca="1" si="195"/>
        <v>583.61699514472457</v>
      </c>
    </row>
    <row r="221" spans="1:22" s="14" customFormat="1" ht="15" customHeight="1" x14ac:dyDescent="0.15">
      <c r="A221" s="75">
        <f ca="1">IFERROR(IF(AND(MAX($A$114:A220)&gt;A220+1, MAX($A$114:A220)&gt;20),0,IF(AND(D221="",G221=""),0,IF(OR(D221&gt;LimitSignB10, G221&gt;LimitSignB11),A220+1,0))),"")</f>
        <v>27</v>
      </c>
      <c r="B221" s="76">
        <f ca="1">IFERROR(MyTime(INDEX(INDIRECT("input!"&amp;$B$112&amp;":"&amp;$B$112),FirstRowInput+Integration*COUNT($B$114:B220)) )* $B$110,"")</f>
        <v>3298.7645440000001</v>
      </c>
      <c r="C221" s="77">
        <f ca="1">IFERROR(AVERAGE(INDEX(INDIRECT("input!" &amp; $C$112 &amp; ":" &amp; $C$112),FirstRowInput+Integration*COUNT($B$114:B220)):INDEX(INDIRECT("input!" &amp; $C$112 &amp; ":" &amp; $C$112),FirstRowInput+Integration*COUNT($B$114:B220)+Integration-1))*$C$110,"")</f>
        <v>19880.317679452961</v>
      </c>
      <c r="D221" s="77">
        <f ca="1">IFERROR(AVERAGE(INDEX(INDIRECT("input!" &amp; $D$112 &amp; ":" &amp; $D$112),FirstRowInput+Integration*COUNT($B$114:B220)):INDEX(INDIRECT("input!" &amp; $D$112 &amp; ":" &amp; $D$112),FirstRowInput+Integration*COUNT($B$114:B220)+Integration-1))*$D$110,"")</f>
        <v>1589915.1208008807</v>
      </c>
      <c r="E221" s="77">
        <f ca="1">IFERROR(AVERAGE(INDEX(INDIRECT("input!" &amp; $E$112 &amp; ":" &amp; $E$112),FirstRowInput+Integration*COUNT($B$114:B220)):INDEX(INDIRECT("input!" &amp; $E$112 &amp; ":" &amp; $E$112),FirstRowInput+Integration*COUNT($B$114:B220)+Integration-1))*$E$110,"")</f>
        <v>17642.041556069675</v>
      </c>
      <c r="F221" s="77">
        <f ca="1">IFERROR(AVERAGE(INDEX(INDIRECT("input!" &amp; $F$112 &amp; ":" &amp; $F$112),FirstRowInput+Integration*COUNT($B$114:B220)):INDEX(INDIRECT("input!" &amp; $F$112 &amp; ":" &amp; $F$112),FirstRowInput+Integration*COUNT($B$114:B220)+Integration-1))*$F$110,"")</f>
        <v>13041.984120296289</v>
      </c>
      <c r="G221" s="77">
        <f ca="1">IFERROR(AVERAGE(INDEX(INDIRECT("input!" &amp; $G$112 &amp; ":" &amp; $G$112),FirstRowInput+Integration*COUNT($B$114:B220)):INDEX(INDIRECT("input!" &amp; $G$112 &amp; ":" &amp; $G$112),FirstRowInput+Integration*COUNT($B$114:B220)+Integration-1))*$G$110,"")</f>
        <v>7201453.0480655562</v>
      </c>
      <c r="H221" s="77">
        <f ca="1">IFERROR(AVERAGE(INDEX(INDIRECT("input!" &amp; $H$112 &amp; ":" &amp; $H$112),FirstRowInput+Integration*COUNT($B$114:B220)):INDEX(INDIRECT("input!" &amp; $H$112 &amp; ":" &amp; $H$112),FirstRowInput+Integration*COUNT($B$114:B220)+Integration-1))*$H$110,"")</f>
        <v>15314.843287495629</v>
      </c>
      <c r="I221" s="42">
        <v>109</v>
      </c>
      <c r="J221" s="74" t="str">
        <f t="shared" si="161"/>
        <v/>
      </c>
      <c r="K221" s="183"/>
      <c r="L221" s="183"/>
      <c r="M221" s="183"/>
      <c r="N221" s="183"/>
      <c r="O221" s="183"/>
      <c r="P221" s="183"/>
      <c r="Q221" s="183"/>
      <c r="R221" s="183"/>
      <c r="S221" s="81">
        <f t="shared" ca="1" si="192"/>
        <v>426.79312074006066</v>
      </c>
      <c r="T221" s="108">
        <f t="shared" ca="1" si="193"/>
        <v>1284.681788543312</v>
      </c>
      <c r="U221" s="108">
        <f t="shared" ca="1" si="194"/>
        <v>1403.3838923712137</v>
      </c>
      <c r="V221" s="108">
        <f t="shared" ca="1" si="195"/>
        <v>-549.79765089109242</v>
      </c>
    </row>
    <row r="222" spans="1:22" s="14" customFormat="1" ht="15" customHeight="1" x14ac:dyDescent="0.15">
      <c r="A222" s="75">
        <f ca="1">IFERROR(IF(AND(MAX($A$114:A221)&gt;A221+1, MAX($A$114:A221)&gt;20),0,IF(AND(D222="",G222=""),0,IF(OR(D222&gt;LimitSignB10, G222&gt;LimitSignB11),A221+1,0))),"")</f>
        <v>28</v>
      </c>
      <c r="B222" s="76">
        <f ca="1">IFERROR(MyTime(INDEX(INDIRECT("input!"&amp;$B$112&amp;":"&amp;$B$112),FirstRowInput+Integration*COUNT($B$114:B221)) )* $B$110,"")</f>
        <v>3298.8326400000001</v>
      </c>
      <c r="C222" s="77">
        <f ca="1">IFERROR(AVERAGE(INDEX(INDIRECT("input!" &amp; $C$112 &amp; ":" &amp; $C$112),FirstRowInput+Integration*COUNT($B$114:B221)):INDEX(INDIRECT("input!" &amp; $C$112 &amp; ":" &amp; $C$112),FirstRowInput+Integration*COUNT($B$114:B221)+Integration-1))*$C$110,"")</f>
        <v>21391.668475939572</v>
      </c>
      <c r="D222" s="77">
        <f ca="1">IFERROR(AVERAGE(INDEX(INDIRECT("input!" &amp; $D$112 &amp; ":" &amp; $D$112),FirstRowInput+Integration*COUNT($B$114:B221)):INDEX(INDIRECT("input!" &amp; $D$112 &amp; ":" &amp; $D$112),FirstRowInput+Integration*COUNT($B$114:B221)+Integration-1))*$D$110,"")</f>
        <v>1583824.9852011851</v>
      </c>
      <c r="E222" s="77">
        <f ca="1">IFERROR(AVERAGE(INDEX(INDIRECT("input!" &amp; $E$112 &amp; ":" &amp; $E$112),FirstRowInput+Integration*COUNT($B$114:B221)):INDEX(INDIRECT("input!" &amp; $E$112 &amp; ":" &amp; $E$112),FirstRowInput+Integration*COUNT($B$114:B221)+Integration-1))*$E$110,"")</f>
        <v>21343.466711864792</v>
      </c>
      <c r="F222" s="77">
        <f ca="1">IFERROR(AVERAGE(INDEX(INDIRECT("input!" &amp; $F$112 &amp; ":" &amp; $F$112),FirstRowInput+Integration*COUNT($B$114:B221)):INDEX(INDIRECT("input!" &amp; $F$112 &amp; ":" &amp; $F$112),FirstRowInput+Integration*COUNT($B$114:B221)+Integration-1))*$F$110,"")</f>
        <v>5859.289256659582</v>
      </c>
      <c r="G222" s="77">
        <f ca="1">IFERROR(AVERAGE(INDEX(INDIRECT("input!" &amp; $G$112 &amp; ":" &amp; $G$112),FirstRowInput+Integration*COUNT($B$114:B221)):INDEX(INDIRECT("input!" &amp; $G$112 &amp; ":" &amp; $G$112),FirstRowInput+Integration*COUNT($B$114:B221)+Integration-1))*$G$110,"")</f>
        <v>7158872.9811762385</v>
      </c>
      <c r="H222" s="77">
        <f ca="1">IFERROR(AVERAGE(INDEX(INDIRECT("input!" &amp; $H$112 &amp; ":" &amp; $H$112),FirstRowInput+Integration*COUNT($B$114:B221)):INDEX(INDIRECT("input!" &amp; $H$112 &amp; ":" &amp; $H$112),FirstRowInput+Integration*COUNT($B$114:B221)+Integration-1))*$H$110,"")</f>
        <v>8719.3972244285087</v>
      </c>
      <c r="I222" s="42">
        <v>110</v>
      </c>
      <c r="J222" s="74" t="str">
        <f t="shared" si="161"/>
        <v/>
      </c>
      <c r="K222" s="183"/>
      <c r="L222" s="183"/>
      <c r="M222" s="183"/>
      <c r="N222" s="183"/>
      <c r="O222" s="183"/>
      <c r="P222" s="183"/>
      <c r="Q222" s="183"/>
      <c r="R222" s="183"/>
      <c r="S222" s="81">
        <f t="shared" ca="1" si="192"/>
        <v>200.86609676293301</v>
      </c>
      <c r="T222" s="108">
        <f t="shared" ca="1" si="193"/>
        <v>3157.5436715000033</v>
      </c>
      <c r="U222" s="108">
        <f t="shared" ca="1" si="194"/>
        <v>1224.3115131840059</v>
      </c>
      <c r="V222" s="108">
        <f t="shared" ca="1" si="195"/>
        <v>-822.57931965813987</v>
      </c>
    </row>
    <row r="223" spans="1:22" s="14" customFormat="1" ht="15" customHeight="1" x14ac:dyDescent="0.15">
      <c r="A223" s="75">
        <f ca="1">IFERROR(IF(AND(MAX($A$114:A222)&gt;A222+1, MAX($A$114:A222)&gt;20),0,IF(AND(D223="",G223=""),0,IF(OR(D223&gt;LimitSignB10, G223&gt;LimitSignB11),A222+1,0))),"")</f>
        <v>29</v>
      </c>
      <c r="B223" s="76">
        <f ca="1">IFERROR(MyTime(INDEX(INDIRECT("input!"&amp;$B$112&amp;":"&amp;$B$112),FirstRowInput+Integration*COUNT($B$114:B222)) )* $B$110,"")</f>
        <v>3298.9007360000001</v>
      </c>
      <c r="C223" s="77">
        <f ca="1">IFERROR(AVERAGE(INDEX(INDIRECT("input!" &amp; $C$112 &amp; ":" &amp; $C$112),FirstRowInput+Integration*COUNT($B$114:B222)):INDEX(INDIRECT("input!" &amp; $C$112 &amp; ":" &amp; $C$112),FirstRowInput+Integration*COUNT($B$114:B222)+Integration-1))*$C$110,"")</f>
        <v>18504.717120993981</v>
      </c>
      <c r="D223" s="77">
        <f ca="1">IFERROR(AVERAGE(INDEX(INDIRECT("input!" &amp; $D$112 &amp; ":" &amp; $D$112),FirstRowInput+Integration*COUNT($B$114:B222)):INDEX(INDIRECT("input!" &amp; $D$112 &amp; ":" &amp; $D$112),FirstRowInput+Integration*COUNT($B$114:B222)+Integration-1))*$D$110,"")</f>
        <v>1585171.9289651171</v>
      </c>
      <c r="E223" s="77">
        <f ca="1">IFERROR(AVERAGE(INDEX(INDIRECT("input!" &amp; $E$112 &amp; ":" &amp; $E$112),FirstRowInput+Integration*COUNT($B$114:B222)):INDEX(INDIRECT("input!" &amp; $E$112 &amp; ":" &amp; $E$112),FirstRowInput+Integration*COUNT($B$114:B222)+Integration-1))*$E$110,"")</f>
        <v>21387.76532198305</v>
      </c>
      <c r="F223" s="77">
        <f ca="1">IFERROR(AVERAGE(INDEX(INDIRECT("input!" &amp; $F$112 &amp; ":" &amp; $F$112),FirstRowInput+Integration*COUNT($B$114:B222)):INDEX(INDIRECT("input!" &amp; $F$112 &amp; ":" &amp; $F$112),FirstRowInput+Integration*COUNT($B$114:B222)+Integration-1))*$F$110,"")</f>
        <v>17482.273194400746</v>
      </c>
      <c r="G223" s="77">
        <f ca="1">IFERROR(AVERAGE(INDEX(INDIRECT("input!" &amp; $G$112 &amp; ":" &amp; $G$112),FirstRowInput+Integration*COUNT($B$114:B222)):INDEX(INDIRECT("input!" &amp; $G$112 &amp; ":" &amp; $G$112),FirstRowInput+Integration*COUNT($B$114:B222)+Integration-1))*$G$110,"")</f>
        <v>7153044.7127642259</v>
      </c>
      <c r="H223" s="77">
        <f ca="1">IFERROR(AVERAGE(INDEX(INDIRECT("input!" &amp; $H$112 &amp; ":" &amp; $H$112),FirstRowInput+Integration*COUNT($B$114:B222)):INDEX(INDIRECT("input!" &amp; $H$112 &amp; ":" &amp; $H$112),FirstRowInput+Integration*COUNT($B$114:B222)+Integration-1))*$H$110,"")</f>
        <v>7512.094422801134</v>
      </c>
      <c r="I223" s="42">
        <v>111</v>
      </c>
      <c r="J223" s="74" t="str">
        <f t="shared" si="161"/>
        <v/>
      </c>
      <c r="K223" s="183"/>
      <c r="L223" s="183"/>
      <c r="M223" s="183"/>
      <c r="N223" s="183"/>
      <c r="O223" s="183"/>
      <c r="P223" s="183"/>
      <c r="Q223" s="183"/>
      <c r="R223" s="183"/>
      <c r="S223" s="81">
        <f t="shared" ca="1" si="192"/>
        <v>2592.2493750750818</v>
      </c>
      <c r="T223" s="108">
        <f t="shared" ca="1" si="193"/>
        <v>183.43139367403637</v>
      </c>
      <c r="U223" s="108">
        <f t="shared" ca="1" si="194"/>
        <v>4387.3039876515486</v>
      </c>
      <c r="V223" s="108">
        <f t="shared" ca="1" si="195"/>
        <v>797.19476249861509</v>
      </c>
    </row>
    <row r="224" spans="1:22" s="14" customFormat="1" ht="15" customHeight="1" x14ac:dyDescent="0.15">
      <c r="A224" s="75">
        <f ca="1">IFERROR(IF(AND(MAX($A$114:A223)&gt;A223+1, MAX($A$114:A223)&gt;20),0,IF(AND(D224="",G224=""),0,IF(OR(D224&gt;LimitSignB10, G224&gt;LimitSignB11),A223+1,0))),"")</f>
        <v>30</v>
      </c>
      <c r="B224" s="76">
        <f ca="1">IFERROR(MyTime(INDEX(INDIRECT("input!"&amp;$B$112&amp;":"&amp;$B$112),FirstRowInput+Integration*COUNT($B$114:B223)) )* $B$110,"")</f>
        <v>3298.9683199999999</v>
      </c>
      <c r="C224" s="77">
        <f ca="1">IFERROR(AVERAGE(INDEX(INDIRECT("input!" &amp; $C$112 &amp; ":" &amp; $C$112),FirstRowInput+Integration*COUNT($B$114:B223)):INDEX(INDIRECT("input!" &amp; $C$112 &amp; ":" &amp; $C$112),FirstRowInput+Integration*COUNT($B$114:B223)+Integration-1))*$C$110,"")</f>
        <v>20767.235945400673</v>
      </c>
      <c r="D224" s="77">
        <f ca="1">IFERROR(AVERAGE(INDEX(INDIRECT("input!" &amp; $D$112 &amp; ":" &amp; $D$112),FirstRowInput+Integration*COUNT($B$114:B223)):INDEX(INDIRECT("input!" &amp; $D$112 &amp; ":" &amp; $D$112),FirstRowInput+Integration*COUNT($B$114:B223)+Integration-1))*$D$110,"")</f>
        <v>1578624.9571584086</v>
      </c>
      <c r="E224" s="77">
        <f ca="1">IFERROR(AVERAGE(INDEX(INDIRECT("input!" &amp; $E$112 &amp; ":" &amp; $E$112),FirstRowInput+Integration*COUNT($B$114:B223)):INDEX(INDIRECT("input!" &amp; $E$112 &amp; ":" &amp; $E$112),FirstRowInput+Integration*COUNT($B$114:B223)+Integration-1))*$E$110,"")</f>
        <v>15395.242156212858</v>
      </c>
      <c r="F224" s="77">
        <f ca="1">IFERROR(AVERAGE(INDEX(INDIRECT("input!" &amp; $F$112 &amp; ":" &amp; $F$112),FirstRowInput+Integration*COUNT($B$114:B223)):INDEX(INDIRECT("input!" &amp; $F$112 &amp; ":" &amp; $F$112),FirstRowInput+Integration*COUNT($B$114:B223)+Integration-1))*$F$110,"")</f>
        <v>12504.766982734665</v>
      </c>
      <c r="G224" s="77">
        <f ca="1">IFERROR(AVERAGE(INDEX(INDIRECT("input!" &amp; $G$112 &amp; ":" &amp; $G$112),FirstRowInput+Integration*COUNT($B$114:B223)):INDEX(INDIRECT("input!" &amp; $G$112 &amp; ":" &amp; $G$112),FirstRowInput+Integration*COUNT($B$114:B223)+Integration-1))*$G$110,"")</f>
        <v>7129177.2840516381</v>
      </c>
      <c r="H224" s="77">
        <f ca="1">IFERROR(AVERAGE(INDEX(INDIRECT("input!" &amp; $H$112 &amp; ":" &amp; $H$112),FirstRowInput+Integration*COUNT($B$114:B223)):INDEX(INDIRECT("input!" &amp; $H$112 &amp; ":" &amp; $H$112),FirstRowInput+Integration*COUNT($B$114:B223)+Integration-1))*$H$110,"")</f>
        <v>14496.498281194488</v>
      </c>
      <c r="I224" s="42">
        <v>112</v>
      </c>
      <c r="J224" s="74" t="str">
        <f t="shared" si="161"/>
        <v/>
      </c>
      <c r="K224" s="183"/>
      <c r="L224" s="183"/>
      <c r="M224" s="183"/>
      <c r="N224" s="183"/>
      <c r="O224" s="183"/>
      <c r="P224" s="183"/>
      <c r="Q224" s="183"/>
      <c r="R224" s="183"/>
      <c r="S224" s="81">
        <f t="shared" ca="1" si="192"/>
        <v>1166.869778896913</v>
      </c>
      <c r="T224" s="108">
        <f t="shared" ca="1" si="193"/>
        <v>-1990.6399315127146</v>
      </c>
      <c r="U224" s="108">
        <f t="shared" ca="1" si="194"/>
        <v>1696.2689053770991</v>
      </c>
      <c r="V224" s="108">
        <f t="shared" ca="1" si="195"/>
        <v>637.47065241672681</v>
      </c>
    </row>
    <row r="225" spans="1:22" s="14" customFormat="1" ht="15" customHeight="1" x14ac:dyDescent="0.15">
      <c r="A225" s="75">
        <f ca="1">IFERROR(IF(AND(MAX($A$114:A224)&gt;A224+1, MAX($A$114:A224)&gt;20),0,IF(AND(D225="",G225=""),0,IF(OR(D225&gt;LimitSignB10, G225&gt;LimitSignB11),A224+1,0))),"")</f>
        <v>31</v>
      </c>
      <c r="B225" s="76">
        <f ca="1">IFERROR(MyTime(INDEX(INDIRECT("input!"&amp;$B$112&amp;":"&amp;$B$112),FirstRowInput+Integration*COUNT($B$114:B224)) )* $B$110,"")</f>
        <v>3299.0364160000004</v>
      </c>
      <c r="C225" s="77">
        <f ca="1">IFERROR(AVERAGE(INDEX(INDIRECT("input!" &amp; $C$112 &amp; ":" &amp; $C$112),FirstRowInput+Integration*COUNT($B$114:B224)):INDEX(INDIRECT("input!" &amp; $C$112 &amp; ":" &amp; $C$112),FirstRowInput+Integration*COUNT($B$114:B224)+Integration-1))*$C$110,"")</f>
        <v>20466.502261072295</v>
      </c>
      <c r="D225" s="77">
        <f ca="1">IFERROR(AVERAGE(INDEX(INDIRECT("input!" &amp; $D$112 &amp; ":" &amp; $D$112),FirstRowInput+Integration*COUNT($B$114:B224)):INDEX(INDIRECT("input!" &amp; $D$112 &amp; ":" &amp; $D$112),FirstRowInput+Integration*COUNT($B$114:B224)+Integration-1))*$D$110,"")</f>
        <v>1555202.0329505214</v>
      </c>
      <c r="E225" s="77">
        <f ca="1">IFERROR(AVERAGE(INDEX(INDIRECT("input!" &amp; $E$112 &amp; ":" &amp; $E$112),FirstRowInput+Integration*COUNT($B$114:B224)):INDEX(INDIRECT("input!" &amp; $E$112 &amp; ":" &amp; $E$112),FirstRowInput+Integration*COUNT($B$114:B224)+Integration-1))*$E$110,"")</f>
        <v>17039.622671609552</v>
      </c>
      <c r="F225" s="77">
        <f ca="1">IFERROR(AVERAGE(INDEX(INDIRECT("input!" &amp; $F$112 &amp; ":" &amp; $F$112),FirstRowInput+Integration*COUNT($B$114:B224)):INDEX(INDIRECT("input!" &amp; $F$112 &amp; ":" &amp; $F$112),FirstRowInput+Integration*COUNT($B$114:B224)+Integration-1))*$F$110,"")</f>
        <v>15348.266680062203</v>
      </c>
      <c r="G225" s="77">
        <f ca="1">IFERROR(AVERAGE(INDEX(INDIRECT("input!" &amp; $G$112 &amp; ":" &amp; $G$112),FirstRowInput+Integration*COUNT($B$114:B224)):INDEX(INDIRECT("input!" &amp; $G$112 &amp; ":" &amp; $G$112),FirstRowInput+Integration*COUNT($B$114:B224)+Integration-1))*$G$110,"")</f>
        <v>7041913.4740705919</v>
      </c>
      <c r="H225" s="77">
        <f ca="1">IFERROR(AVERAGE(INDEX(INDIRECT("input!" &amp; $H$112 &amp; ":" &amp; $H$112),FirstRowInput+Integration*COUNT($B$114:B224)):INDEX(INDIRECT("input!" &amp; $H$112 &amp; ":" &amp; $H$112),FirstRowInput+Integration*COUNT($B$114:B224)+Integration-1))*$H$110,"")</f>
        <v>13578.719470898775</v>
      </c>
      <c r="I225" s="42">
        <v>113</v>
      </c>
      <c r="J225" s="74" t="str">
        <f t="shared" si="161"/>
        <v/>
      </c>
      <c r="K225" s="183"/>
      <c r="L225" s="183"/>
      <c r="M225" s="183"/>
      <c r="N225" s="183"/>
      <c r="O225" s="183"/>
      <c r="P225" s="183"/>
      <c r="Q225" s="183"/>
      <c r="R225" s="183"/>
      <c r="S225" s="81">
        <f t="shared" ca="1" si="192"/>
        <v>1190.1315888074942</v>
      </c>
      <c r="T225" s="108">
        <f t="shared" ca="1" si="193"/>
        <v>311.01914660182956</v>
      </c>
      <c r="U225" s="108">
        <f t="shared" ca="1" si="194"/>
        <v>2664.0663558814722</v>
      </c>
      <c r="V225" s="108">
        <f t="shared" ca="1" si="195"/>
        <v>-283.80317826648388</v>
      </c>
    </row>
    <row r="226" spans="1:22" s="14" customFormat="1" ht="15" customHeight="1" x14ac:dyDescent="0.15">
      <c r="A226" s="75">
        <f ca="1">IFERROR(IF(AND(MAX($A$114:A225)&gt;A225+1, MAX($A$114:A225)&gt;20),0,IF(AND(D226="",G226=""),0,IF(OR(D226&gt;LimitSignB10, G226&gt;LimitSignB11),A225+1,0))),"")</f>
        <v>32</v>
      </c>
      <c r="B226" s="76">
        <f ca="1">IFERROR(MyTime(INDEX(INDIRECT("input!"&amp;$B$112&amp;":"&amp;$B$112),FirstRowInput+Integration*COUNT($B$114:B225)) )* $B$110,"")</f>
        <v>3299.1047680000001</v>
      </c>
      <c r="C226" s="77">
        <f ca="1">IFERROR(AVERAGE(INDEX(INDIRECT("input!" &amp; $C$112 &amp; ":" &amp; $C$112),FirstRowInput+Integration*COUNT($B$114:B225)):INDEX(INDIRECT("input!" &amp; $C$112 &amp; ":" &amp; $C$112),FirstRowInput+Integration*COUNT($B$114:B225)+Integration-1))*$C$110,"")</f>
        <v>20928.648761432629</v>
      </c>
      <c r="D226" s="77">
        <f ca="1">IFERROR(AVERAGE(INDEX(INDIRECT("input!" &amp; $D$112 &amp; ":" &amp; $D$112),FirstRowInput+Integration*COUNT($B$114:B225)):INDEX(INDIRECT("input!" &amp; $D$112 &amp; ":" &amp; $D$112),FirstRowInput+Integration*COUNT($B$114:B225)+Integration-1))*$D$110,"")</f>
        <v>1550269.2091786223</v>
      </c>
      <c r="E226" s="77">
        <f ca="1">IFERROR(AVERAGE(INDEX(INDIRECT("input!" &amp; $E$112 &amp; ":" &amp; $E$112),FirstRowInput+Integration*COUNT($B$114:B225)):INDEX(INDIRECT("input!" &amp; $E$112 &amp; ":" &amp; $E$112),FirstRowInput+Integration*COUNT($B$114:B225)+Integration-1))*$E$110,"")</f>
        <v>19998.560312441943</v>
      </c>
      <c r="F226" s="77">
        <f ca="1">IFERROR(AVERAGE(INDEX(INDIRECT("input!" &amp; $F$112 &amp; ":" &amp; $F$112),FirstRowInput+Integration*COUNT($B$114:B225)):INDEX(INDIRECT("input!" &amp; $F$112 &amp; ":" &amp; $F$112),FirstRowInput+Integration*COUNT($B$114:B225)+Integration-1))*$F$110,"")</f>
        <v>9409.1679475774035</v>
      </c>
      <c r="G226" s="77">
        <f ca="1">IFERROR(AVERAGE(INDEX(INDIRECT("input!" &amp; $G$112 &amp; ":" &amp; $G$112),FirstRowInput+Integration*COUNT($B$114:B225)):INDEX(INDIRECT("input!" &amp; $G$112 &amp; ":" &amp; $G$112),FirstRowInput+Integration*COUNT($B$114:B225)+Integration-1))*$G$110,"")</f>
        <v>6993684.2178022563</v>
      </c>
      <c r="H226" s="77">
        <f ca="1">IFERROR(AVERAGE(INDEX(INDIRECT("input!" &amp; $H$112 &amp; ":" &amp; $H$112),FirstRowInput+Integration*COUNT($B$114:B225)):INDEX(INDIRECT("input!" &amp; $H$112 &amp; ":" &amp; $H$112),FirstRowInput+Integration*COUNT($B$114:B225)+Integration-1))*$H$110,"")</f>
        <v>7032.9220925554655</v>
      </c>
      <c r="I226" s="42">
        <v>114</v>
      </c>
      <c r="J226" s="74" t="str">
        <f t="shared" si="161"/>
        <v/>
      </c>
      <c r="K226" s="183"/>
      <c r="L226" s="183"/>
      <c r="M226" s="183"/>
      <c r="N226" s="183"/>
      <c r="O226" s="183"/>
      <c r="P226" s="183"/>
      <c r="Q226" s="183"/>
      <c r="R226" s="183"/>
      <c r="S226" s="81">
        <f t="shared" ca="1" si="192"/>
        <v>172.09193257191509</v>
      </c>
      <c r="T226" s="108">
        <f t="shared" ca="1" si="193"/>
        <v>1391.3858969189459</v>
      </c>
      <c r="U226" s="108">
        <f t="shared" ca="1" si="194"/>
        <v>-1382.2612261461109</v>
      </c>
      <c r="V226" s="108">
        <f t="shared" ca="1" si="195"/>
        <v>1726.445091289941</v>
      </c>
    </row>
    <row r="227" spans="1:22" s="14" customFormat="1" ht="15" customHeight="1" x14ac:dyDescent="0.15">
      <c r="A227" s="75">
        <f ca="1">IFERROR(IF(AND(MAX($A$114:A226)&gt;A226+1, MAX($A$114:A226)&gt;20),0,IF(AND(D227="",G227=""),0,IF(OR(D227&gt;LimitSignB10, G227&gt;LimitSignB11),A226+1,0))),"")</f>
        <v>33</v>
      </c>
      <c r="B227" s="76">
        <f ca="1">IFERROR(MyTime(INDEX(INDIRECT("input!"&amp;$B$112&amp;":"&amp;$B$112),FirstRowInput+Integration*COUNT($B$114:B226)) )* $B$110,"")</f>
        <v>3299.1728640000001</v>
      </c>
      <c r="C227" s="77">
        <f ca="1">IFERROR(AVERAGE(INDEX(INDIRECT("input!" &amp; $C$112 &amp; ":" &amp; $C$112),FirstRowInput+Integration*COUNT($B$114:B226)):INDEX(INDIRECT("input!" &amp; $C$112 &amp; ":" &amp; $C$112),FirstRowInput+Integration*COUNT($B$114:B226)+Integration-1))*$C$110,"")</f>
        <v>21814.716887342995</v>
      </c>
      <c r="D227" s="77">
        <f ca="1">IFERROR(AVERAGE(INDEX(INDIRECT("input!" &amp; $D$112 &amp; ":" &amp; $D$112),FirstRowInput+Integration*COUNT($B$114:B226)):INDEX(INDIRECT("input!" &amp; $D$112 &amp; ":" &amp; $D$112),FirstRowInput+Integration*COUNT($B$114:B226)+Integration-1))*$D$110,"")</f>
        <v>1538437.2920510257</v>
      </c>
      <c r="E227" s="77">
        <f ca="1">IFERROR(AVERAGE(INDEX(INDIRECT("input!" &amp; $E$112 &amp; ":" &amp; $E$112),FirstRowInput+Integration*COUNT($B$114:B226)):INDEX(INDIRECT("input!" &amp; $E$112 &amp; ":" &amp; $E$112),FirstRowInput+Integration*COUNT($B$114:B226)+Integration-1))*$E$110,"")</f>
        <v>19200.356172243792</v>
      </c>
      <c r="F227" s="77">
        <f ca="1">IFERROR(AVERAGE(INDEX(INDIRECT("input!" &amp; $F$112 &amp; ":" &amp; $F$112),FirstRowInput+Integration*COUNT($B$114:B226)):INDEX(INDIRECT("input!" &amp; $F$112 &amp; ":" &amp; $F$112),FirstRowInput+Integration*COUNT($B$114:B226)+Integration-1))*$F$110,"")</f>
        <v>15408.159334247783</v>
      </c>
      <c r="G227" s="77">
        <f ca="1">IFERROR(AVERAGE(INDEX(INDIRECT("input!" &amp; $G$112 &amp; ":" &amp; $G$112),FirstRowInput+Integration*COUNT($B$114:B226)):INDEX(INDIRECT("input!" &amp; $G$112 &amp; ":" &amp; $G$112),FirstRowInput+Integration*COUNT($B$114:B226)+Integration-1))*$G$110,"")</f>
        <v>6949814.1394206723</v>
      </c>
      <c r="H227" s="77">
        <f ca="1">IFERROR(AVERAGE(INDEX(INDIRECT("input!" &amp; $H$112 &amp; ":" &amp; $H$112),FirstRowInput+Integration*COUNT($B$114:B226)):INDEX(INDIRECT("input!" &amp; $H$112 &amp; ":" &amp; $H$112),FirstRowInput+Integration*COUNT($B$114:B226)+Integration-1))*$H$110,"")</f>
        <v>11732.676789144854</v>
      </c>
      <c r="I227" s="42">
        <v>115</v>
      </c>
      <c r="J227" s="74" t="str">
        <f t="shared" si="161"/>
        <v/>
      </c>
      <c r="K227" s="183"/>
      <c r="L227" s="183"/>
      <c r="M227" s="183"/>
      <c r="N227" s="183"/>
      <c r="O227" s="183"/>
      <c r="P227" s="183"/>
      <c r="Q227" s="183"/>
      <c r="R227" s="183"/>
      <c r="S227" s="81">
        <f t="shared" ca="1" si="192"/>
        <v>746.23430436814624</v>
      </c>
      <c r="T227" s="108">
        <f t="shared" ca="1" si="193"/>
        <v>131.62942372383259</v>
      </c>
      <c r="U227" s="108">
        <f t="shared" ca="1" si="194"/>
        <v>-3909.6235991821586</v>
      </c>
      <c r="V227" s="108">
        <f t="shared" ca="1" si="195"/>
        <v>5402.0922079184511</v>
      </c>
    </row>
    <row r="228" spans="1:22" s="14" customFormat="1" ht="15" customHeight="1" x14ac:dyDescent="0.15">
      <c r="A228" s="75">
        <f ca="1">IFERROR(IF(AND(MAX($A$114:A227)&gt;A227+1, MAX($A$114:A227)&gt;20),0,IF(AND(D228="",G228=""),0,IF(OR(D228&gt;LimitSignB10, G228&gt;LimitSignB11),A227+1,0))),"")</f>
        <v>34</v>
      </c>
      <c r="B228" s="76">
        <f ca="1">IFERROR(MyTime(INDEX(INDIRECT("input!"&amp;$B$112&amp;":"&amp;$B$112),FirstRowInput+Integration*COUNT($B$114:B227)) )* $B$110,"")</f>
        <v>3299.2409600000001</v>
      </c>
      <c r="C228" s="77">
        <f ca="1">IFERROR(AVERAGE(INDEX(INDIRECT("input!" &amp; $C$112 &amp; ":" &amp; $C$112),FirstRowInput+Integration*COUNT($B$114:B227)):INDEX(INDIRECT("input!" &amp; $C$112 &amp; ":" &amp; $C$112),FirstRowInput+Integration*COUNT($B$114:B227)+Integration-1))*$C$110,"")</f>
        <v>20062.937208297797</v>
      </c>
      <c r="D228" s="77">
        <f ca="1">IFERROR(AVERAGE(INDEX(INDIRECT("input!" &amp; $D$112 &amp; ":" &amp; $D$112),FirstRowInput+Integration*COUNT($B$114:B227)):INDEX(INDIRECT("input!" &amp; $D$112 &amp; ":" &amp; $D$112),FirstRowInput+Integration*COUNT($B$114:B227)+Integration-1))*$D$110,"")</f>
        <v>1531886.1587624089</v>
      </c>
      <c r="E228" s="77">
        <f ca="1">IFERROR(AVERAGE(INDEX(INDIRECT("input!" &amp; $E$112 &amp; ":" &amp; $E$112),FirstRowInput+Integration*COUNT($B$114:B227)):INDEX(INDIRECT("input!" &amp; $E$112 &amp; ":" &amp; $E$112),FirstRowInput+Integration*COUNT($B$114:B227)+Integration-1))*$E$110,"")</f>
        <v>17479.047366051709</v>
      </c>
      <c r="F228" s="77">
        <f ca="1">IFERROR(AVERAGE(INDEX(INDIRECT("input!" &amp; $F$112 &amp; ":" &amp; $F$112),FirstRowInput+Integration*COUNT($B$114:B227)):INDEX(INDIRECT("input!" &amp; $F$112 &amp; ":" &amp; $F$112),FirstRowInput+Integration*COUNT($B$114:B227)+Integration-1))*$F$110,"")</f>
        <v>3209.2839339794564</v>
      </c>
      <c r="G228" s="77">
        <f ca="1">IFERROR(AVERAGE(INDEX(INDIRECT("input!" &amp; $G$112 &amp; ":" &amp; $G$112),FirstRowInput+Integration*COUNT($B$114:B227)):INDEX(INDIRECT("input!" &amp; $G$112 &amp; ":" &amp; $G$112),FirstRowInput+Integration*COUNT($B$114:B227)+Integration-1))*$G$110,"")</f>
        <v>6927364.588639061</v>
      </c>
      <c r="H228" s="77">
        <f ca="1">IFERROR(AVERAGE(INDEX(INDIRECT("input!" &amp; $H$112 &amp; ":" &amp; $H$112),FirstRowInput+Integration*COUNT($B$114:B227)):INDEX(INDIRECT("input!" &amp; $H$112 &amp; ":" &amp; $H$112),FirstRowInput+Integration*COUNT($B$114:B227)+Integration-1))*$H$110,"")</f>
        <v>19609.464279568052</v>
      </c>
      <c r="I228" s="42">
        <v>116</v>
      </c>
      <c r="J228" s="74" t="str">
        <f t="shared" si="161"/>
        <v/>
      </c>
      <c r="K228" s="183"/>
      <c r="L228" s="183"/>
      <c r="M228" s="183"/>
      <c r="N228" s="183"/>
      <c r="O228" s="183"/>
      <c r="P228" s="183"/>
      <c r="Q228" s="183"/>
      <c r="R228" s="183"/>
      <c r="S228" s="81">
        <f t="shared" ca="1" si="192"/>
        <v>-2229.7933122047216</v>
      </c>
      <c r="T228" s="108">
        <f t="shared" ca="1" si="193"/>
        <v>-1181.811238000002</v>
      </c>
      <c r="U228" s="108">
        <f t="shared" ca="1" si="194"/>
        <v>-8525.6121890337163</v>
      </c>
      <c r="V228" s="108">
        <f t="shared" ca="1" si="195"/>
        <v>4066.0255646242731</v>
      </c>
    </row>
    <row r="229" spans="1:22" s="14" customFormat="1" ht="15" customHeight="1" x14ac:dyDescent="0.15">
      <c r="A229" s="75">
        <f ca="1">IFERROR(IF(AND(MAX($A$114:A228)&gt;A228+1, MAX($A$114:A228)&gt;20),0,IF(AND(D229="",G229=""),0,IF(OR(D229&gt;LimitSignB10, G229&gt;LimitSignB11),A228+1,0))),"")</f>
        <v>35</v>
      </c>
      <c r="B229" s="76">
        <f ca="1">IFERROR(MyTime(INDEX(INDIRECT("input!"&amp;$B$112&amp;":"&amp;$B$112),FirstRowInput+Integration*COUNT($B$114:B228)) )* $B$110,"")</f>
        <v>3299.3090560000001</v>
      </c>
      <c r="C229" s="77">
        <f ca="1">IFERROR(AVERAGE(INDEX(INDIRECT("input!" &amp; $C$112 &amp; ":" &amp; $C$112),FirstRowInput+Integration*COUNT($B$114:B228)):INDEX(INDIRECT("input!" &amp; $C$112 &amp; ":" &amp; $C$112),FirstRowInput+Integration*COUNT($B$114:B228)+Integration-1))*$C$110,"")</f>
        <v>17461.702683564112</v>
      </c>
      <c r="D229" s="77">
        <f ca="1">IFERROR(AVERAGE(INDEX(INDIRECT("input!" &amp; $D$112 &amp; ":" &amp; $D$112),FirstRowInput+Integration*COUNT($B$114:B228)):INDEX(INDIRECT("input!" &amp; $D$112 &amp; ":" &amp; $D$112),FirstRowInput+Integration*COUNT($B$114:B228)+Integration-1))*$D$110,"")</f>
        <v>1524669.2589769866</v>
      </c>
      <c r="E229" s="77">
        <f ca="1">IFERROR(AVERAGE(INDEX(INDIRECT("input!" &amp; $E$112 &amp; ":" &amp; $E$112),FirstRowInput+Integration*COUNT($B$114:B228)):INDEX(INDIRECT("input!" &amp; $E$112 &amp; ":" &amp; $E$112),FirstRowInput+Integration*COUNT($B$114:B228)+Integration-1))*$E$110,"")</f>
        <v>16573.47484879613</v>
      </c>
      <c r="F229" s="77">
        <f ca="1">IFERROR(AVERAGE(INDEX(INDIRECT("input!" &amp; $F$112 &amp; ":" &amp; $F$112),FirstRowInput+Integration*COUNT($B$114:B228)):INDEX(INDIRECT("input!" &amp; $F$112 &amp; ":" &amp; $F$112),FirstRowInput+Integration*COUNT($B$114:B228)+Integration-1))*$F$110,"")</f>
        <v>1827.0808284692621</v>
      </c>
      <c r="G229" s="77">
        <f ca="1">IFERROR(AVERAGE(INDEX(INDIRECT("input!" &amp; $G$112 &amp; ":" &amp; $G$112),FirstRowInput+Integration*COUNT($B$114:B228)):INDEX(INDIRECT("input!" &amp; $G$112 &amp; ":" &amp; $G$112),FirstRowInput+Integration*COUNT($B$114:B228)+Integration-1))*$G$110,"")</f>
        <v>6881608.884364781</v>
      </c>
      <c r="H229" s="77">
        <f ca="1">IFERROR(AVERAGE(INDEX(INDIRECT("input!" &amp; $H$112 &amp; ":" &amp; $H$112),FirstRowInput+Integration*COUNT($B$114:B228)):INDEX(INDIRECT("input!" &amp; $H$112 &amp; ":" &amp; $H$112),FirstRowInput+Integration*COUNT($B$114:B228)+Integration-1))*$H$110,"")</f>
        <v>18059.863442440994</v>
      </c>
      <c r="I229" s="42">
        <v>117</v>
      </c>
      <c r="J229" s="74" t="str">
        <f t="shared" si="161"/>
        <v/>
      </c>
      <c r="K229" s="183"/>
      <c r="L229" s="183"/>
      <c r="M229" s="183"/>
      <c r="N229" s="183"/>
      <c r="O229" s="183"/>
      <c r="P229" s="183"/>
      <c r="Q229" s="183"/>
      <c r="R229" s="183"/>
      <c r="S229" s="81">
        <f t="shared" ca="1" si="192"/>
        <v>-2770.1775334805679</v>
      </c>
      <c r="T229" s="108">
        <f t="shared" ca="1" si="193"/>
        <v>-917.93877398648328</v>
      </c>
      <c r="U229" s="108">
        <f t="shared" ca="1" si="194"/>
        <v>-5066.3673609125726</v>
      </c>
      <c r="V229" s="108">
        <f t="shared" ca="1" si="195"/>
        <v>-473.98770604856327</v>
      </c>
    </row>
    <row r="230" spans="1:22" s="14" customFormat="1" ht="15" customHeight="1" x14ac:dyDescent="0.15">
      <c r="A230" s="75">
        <f ca="1">IFERROR(IF(AND(MAX($A$114:A229)&gt;A229+1, MAX($A$114:A229)&gt;20),0,IF(AND(D230="",G230=""),0,IF(OR(D230&gt;LimitSignB10, G230&gt;LimitSignB11),A229+1,0))),"")</f>
        <v>36</v>
      </c>
      <c r="B230" s="76">
        <f ca="1">IFERROR(MyTime(INDEX(INDIRECT("input!"&amp;$B$112&amp;":"&amp;$B$112),FirstRowInput+Integration*COUNT($B$114:B229)) )* $B$110,"")</f>
        <v>3299.3774079999998</v>
      </c>
      <c r="C230" s="77">
        <f ca="1">IFERROR(AVERAGE(INDEX(INDIRECT("input!" &amp; $C$112 &amp; ":" &amp; $C$112),FirstRowInput+Integration*COUNT($B$114:B229)):INDEX(INDIRECT("input!" &amp; $C$112 &amp; ":" &amp; $C$112),FirstRowInput+Integration*COUNT($B$114:B229)+Integration-1))*$C$110,"")</f>
        <v>19469.241372380529</v>
      </c>
      <c r="D230" s="77">
        <f ca="1">IFERROR(AVERAGE(INDEX(INDIRECT("input!" &amp; $D$112 &amp; ":" &amp; $D$112),FirstRowInput+Integration*COUNT($B$114:B229)):INDEX(INDIRECT("input!" &amp; $D$112 &amp; ":" &amp; $D$112),FirstRowInput+Integration*COUNT($B$114:B229)+Integration-1))*$D$110,"")</f>
        <v>1525163.4120565378</v>
      </c>
      <c r="E230" s="77">
        <f ca="1">IFERROR(AVERAGE(INDEX(INDIRECT("input!" &amp; $E$112 &amp; ":" &amp; $E$112),FirstRowInput+Integration*COUNT($B$114:B229)):INDEX(INDIRECT("input!" &amp; $E$112 &amp; ":" &amp; $E$112),FirstRowInput+Integration*COUNT($B$114:B229)+Integration-1))*$E$110,"")</f>
        <v>18006.792294078747</v>
      </c>
      <c r="F230" s="77">
        <f ca="1">IFERROR(AVERAGE(INDEX(INDIRECT("input!" &amp; $F$112 &amp; ":" &amp; $F$112),FirstRowInput+Integration*COUNT($B$114:B229)):INDEX(INDIRECT("input!" &amp; $F$112 &amp; ":" &amp; $F$112),FirstRowInput+Integration*COUNT($B$114:B229)+Integration-1))*$F$110,"")</f>
        <v>1560.1935646931088</v>
      </c>
      <c r="G230" s="77">
        <f ca="1">IFERROR(AVERAGE(INDEX(INDIRECT("input!" &amp; $G$112 &amp; ":" &amp; $G$112),FirstRowInput+Integration*COUNT($B$114:B229)):INDEX(INDIRECT("input!" &amp; $G$112 &amp; ":" &amp; $G$112),FirstRowInput+Integration*COUNT($B$114:B229)+Integration-1))*$G$110,"")</f>
        <v>6886579.3521957751</v>
      </c>
      <c r="H230" s="77">
        <f ca="1">IFERROR(AVERAGE(INDEX(INDIRECT("input!" &amp; $H$112 &amp; ":" &amp; $H$112),FirstRowInput+Integration*COUNT($B$114:B229)):INDEX(INDIRECT("input!" &amp; $H$112 &amp; ":" &amp; $H$112),FirstRowInput+Integration*COUNT($B$114:B229)+Integration-1))*$H$110,"")</f>
        <v>7724.4768592623213</v>
      </c>
      <c r="I230" s="42">
        <v>118</v>
      </c>
      <c r="J230" s="74" t="str">
        <f t="shared" si="161"/>
        <v/>
      </c>
      <c r="K230" s="183"/>
      <c r="L230" s="183"/>
      <c r="M230" s="183"/>
      <c r="N230" s="183"/>
      <c r="O230" s="183"/>
      <c r="P230" s="183"/>
      <c r="Q230" s="183"/>
      <c r="R230" s="183"/>
      <c r="S230" s="81">
        <f t="shared" ca="1" si="192"/>
        <v>-1233.0902731002816</v>
      </c>
      <c r="T230" s="108">
        <f t="shared" ca="1" si="193"/>
        <v>140.67383661653002</v>
      </c>
      <c r="U230" s="108">
        <f t="shared" ca="1" si="194"/>
        <v>142.00002978539669</v>
      </c>
      <c r="V230" s="108">
        <f t="shared" ca="1" si="195"/>
        <v>-2608.1805759859599</v>
      </c>
    </row>
    <row r="231" spans="1:22" s="14" customFormat="1" ht="15" customHeight="1" x14ac:dyDescent="0.15">
      <c r="A231" s="75">
        <f ca="1">IFERROR(IF(AND(MAX($A$114:A230)&gt;A230+1, MAX($A$114:A230)&gt;20),0,IF(AND(D231="",G231=""),0,IF(OR(D231&gt;LimitSignB10, G231&gt;LimitSignB11),A230+1,0))),"")</f>
        <v>37</v>
      </c>
      <c r="B231" s="76">
        <f ca="1">IFERROR(MyTime(INDEX(INDIRECT("input!"&amp;$B$112&amp;":"&amp;$B$112),FirstRowInput+Integration*COUNT($B$114:B230)) )* $B$110,"")</f>
        <v>3299.4455040000003</v>
      </c>
      <c r="C231" s="77">
        <f ca="1">IFERROR(AVERAGE(INDEX(INDIRECT("input!" &amp; $C$112 &amp; ":" &amp; $C$112),FirstRowInput+Integration*COUNT($B$114:B230)):INDEX(INDIRECT("input!" &amp; $C$112 &amp; ":" &amp; $C$112),FirstRowInput+Integration*COUNT($B$114:B230)+Integration-1))*$C$110,"")</f>
        <v>22740.189218453244</v>
      </c>
      <c r="D231" s="77">
        <f ca="1">IFERROR(AVERAGE(INDEX(INDIRECT("input!" &amp; $D$112 &amp; ":" &amp; $D$112),FirstRowInput+Integration*COUNT($B$114:B230)):INDEX(INDIRECT("input!" &amp; $D$112 &amp; ":" &amp; $D$112),FirstRowInput+Integration*COUNT($B$114:B230)+Integration-1))*$D$110,"")</f>
        <v>1536541.2876800501</v>
      </c>
      <c r="E231" s="77">
        <f ca="1">IFERROR(AVERAGE(INDEX(INDIRECT("input!" &amp; $E$112 &amp; ":" &amp; $E$112),FirstRowInput+Integration*COUNT($B$114:B230)):INDEX(INDIRECT("input!" &amp; $E$112 &amp; ":" &amp; $E$112),FirstRowInput+Integration*COUNT($B$114:B230)+Integration-1))*$E$110,"")</f>
        <v>18690.700070002149</v>
      </c>
      <c r="F231" s="77">
        <f ca="1">IFERROR(AVERAGE(INDEX(INDIRECT("input!" &amp; $F$112 &amp; ":" &amp; $F$112),FirstRowInput+Integration*COUNT($B$114:B230)):INDEX(INDIRECT("input!" &amp; $F$112 &amp; ":" &amp; $F$112),FirstRowInput+Integration*COUNT($B$114:B230)+Integration-1))*$F$110,"")</f>
        <v>13587.018418342886</v>
      </c>
      <c r="G231" s="77">
        <f ca="1">IFERROR(AVERAGE(INDEX(INDIRECT("input!" &amp; $G$112 &amp; ":" &amp; $G$112),FirstRowInput+Integration*COUNT($B$114:B230)):INDEX(INDIRECT("input!" &amp; $G$112 &amp; ":" &amp; $G$112),FirstRowInput+Integration*COUNT($B$114:B230)+Integration-1))*$G$110,"")</f>
        <v>6952954.178998963</v>
      </c>
      <c r="H231" s="77">
        <f ca="1">IFERROR(AVERAGE(INDEX(INDIRECT("input!" &amp; $H$112 &amp; ":" &amp; $H$112),FirstRowInput+Integration*COUNT($B$114:B230)):INDEX(INDIRECT("input!" &amp; $H$112 &amp; ":" &amp; $H$112),FirstRowInput+Integration*COUNT($B$114:B230)+Integration-1))*$H$110,"")</f>
        <v>5989.4244675495484</v>
      </c>
      <c r="I231" s="42">
        <v>119</v>
      </c>
      <c r="J231" s="74" t="str">
        <f t="shared" si="161"/>
        <v/>
      </c>
      <c r="K231" s="183"/>
      <c r="L231" s="183"/>
      <c r="M231" s="183"/>
      <c r="N231" s="183"/>
      <c r="O231" s="183"/>
      <c r="P231" s="183"/>
      <c r="Q231" s="183"/>
      <c r="R231" s="183"/>
      <c r="S231" s="81">
        <f t="shared" ca="1" si="192"/>
        <v>2101.0525757539472</v>
      </c>
      <c r="T231" s="108">
        <f t="shared" ca="1" si="193"/>
        <v>928.15998836521612</v>
      </c>
      <c r="U231" s="108">
        <f t="shared" ca="1" si="194"/>
        <v>3793.4976891157257</v>
      </c>
      <c r="V231" s="108">
        <f t="shared" ca="1" si="195"/>
        <v>408.6074623921686</v>
      </c>
    </row>
    <row r="232" spans="1:22" s="14" customFormat="1" ht="15" customHeight="1" x14ac:dyDescent="0.15">
      <c r="A232" s="75">
        <f ca="1">IFERROR(IF(AND(MAX($A$114:A231)&gt;A231+1, MAX($A$114:A231)&gt;20),0,IF(AND(D232="",G232=""),0,IF(OR(D232&gt;LimitSignB10, G232&gt;LimitSignB11),A231+1,0))),"")</f>
        <v>38</v>
      </c>
      <c r="B232" s="76">
        <f ca="1">IFERROR(MyTime(INDEX(INDIRECT("input!"&amp;$B$112&amp;":"&amp;$B$112),FirstRowInput+Integration*COUNT($B$114:B231)) )* $B$110,"")</f>
        <v>3299.5136000000002</v>
      </c>
      <c r="C232" s="77">
        <f ca="1">IFERROR(AVERAGE(INDEX(INDIRECT("input!" &amp; $C$112 &amp; ":" &amp; $C$112),FirstRowInput+Integration*COUNT($B$114:B231)):INDEX(INDIRECT("input!" &amp; $C$112 &amp; ":" &amp; $C$112),FirstRowInput+Integration*COUNT($B$114:B231)+Integration-1))*$C$110,"")</f>
        <v>20613.204095409994</v>
      </c>
      <c r="D232" s="77">
        <f ca="1">IFERROR(AVERAGE(INDEX(INDIRECT("input!" &amp; $D$112 &amp; ":" &amp; $D$112),FirstRowInput+Integration*COUNT($B$114:B231)):INDEX(INDIRECT("input!" &amp; $D$112 &amp; ":" &amp; $D$112),FirstRowInput+Integration*COUNT($B$114:B231)+Integration-1))*$D$110,"")</f>
        <v>1546648.6684961831</v>
      </c>
      <c r="E232" s="77">
        <f ca="1">IFERROR(AVERAGE(INDEX(INDIRECT("input!" &amp; $E$112 &amp; ":" &amp; $E$112),FirstRowInput+Integration*COUNT($B$114:B231)):INDEX(INDIRECT("input!" &amp; $E$112 &amp; ":" &amp; $E$112),FirstRowInput+Integration*COUNT($B$114:B231)+Integration-1))*$E$110,"")</f>
        <v>19581.764597576126</v>
      </c>
      <c r="F232" s="77">
        <f ca="1">IFERROR(AVERAGE(INDEX(INDIRECT("input!" &amp; $F$112 &amp; ":" &amp; $F$112),FirstRowInput+Integration*COUNT($B$114:B231)):INDEX(INDIRECT("input!" &amp; $F$112 &amp; ":" &amp; $F$112),FirstRowInput+Integration*COUNT($B$114:B231)+Integration-1))*$F$110,"")</f>
        <v>17452.183000563167</v>
      </c>
      <c r="G232" s="77">
        <f ca="1">IFERROR(AVERAGE(INDEX(INDIRECT("input!" &amp; $G$112 &amp; ":" &amp; $G$112),FirstRowInput+Integration*COUNT($B$114:B231)):INDEX(INDIRECT("input!" &amp; $G$112 &amp; ":" &amp; $G$112),FirstRowInput+Integration*COUNT($B$114:B231)+Integration-1))*$G$110,"")</f>
        <v>7001421.0620266227</v>
      </c>
      <c r="H232" s="77">
        <f ca="1">IFERROR(AVERAGE(INDEX(INDIRECT("input!" &amp; $H$112 &amp; ":" &amp; $H$112),FirstRowInput+Integration*COUNT($B$114:B231)):INDEX(INDIRECT("input!" &amp; $H$112 &amp; ":" &amp; $H$112),FirstRowInput+Integration*COUNT($B$114:B231)+Integration-1))*$H$110,"")</f>
        <v>11657.2848326288</v>
      </c>
      <c r="I232" s="42">
        <v>120</v>
      </c>
      <c r="J232" s="74" t="str">
        <f t="shared" si="161"/>
        <v/>
      </c>
      <c r="K232" s="183"/>
      <c r="L232" s="183"/>
      <c r="M232" s="183"/>
      <c r="N232" s="183"/>
      <c r="O232" s="183"/>
      <c r="P232" s="183"/>
      <c r="Q232" s="183"/>
      <c r="R232" s="183"/>
      <c r="S232" s="81">
        <f t="shared" ca="1" si="192"/>
        <v>3063.9685408604191</v>
      </c>
      <c r="T232" s="108">
        <f t="shared" ca="1" si="193"/>
        <v>265.71040667065972</v>
      </c>
      <c r="U232" s="108">
        <f t="shared" ca="1" si="194"/>
        <v>2704.0691137219819</v>
      </c>
      <c r="V232" s="108">
        <f t="shared" ca="1" si="195"/>
        <v>3423.8679679988563</v>
      </c>
    </row>
    <row r="233" spans="1:22" s="14" customFormat="1" ht="15" customHeight="1" x14ac:dyDescent="0.15">
      <c r="A233" s="75">
        <f ca="1">IFERROR(IF(AND(MAX($A$114:A232)&gt;A232+1, MAX($A$114:A232)&gt;20),0,IF(AND(D233="",G233=""),0,IF(OR(D233&gt;LimitSignB10, G233&gt;LimitSignB11),A232+1,0))),"")</f>
        <v>39</v>
      </c>
      <c r="B233" s="76">
        <f ca="1">IFERROR(MyTime(INDEX(INDIRECT("input!"&amp;$B$112&amp;":"&amp;$B$112),FirstRowInput+Integration*COUNT($B$114:B232)) )* $B$110,"")</f>
        <v>3299.5814399999999</v>
      </c>
      <c r="C233" s="77">
        <f ca="1">IFERROR(AVERAGE(INDEX(INDIRECT("input!" &amp; $C$112 &amp; ":" &amp; $C$112),FirstRowInput+Integration*COUNT($B$114:B232)):INDEX(INDIRECT("input!" &amp; $C$112 &amp; ":" &amp; $C$112),FirstRowInput+Integration*COUNT($B$114:B232)+Integration-1))*$C$110,"")</f>
        <v>17401.129809118662</v>
      </c>
      <c r="D233" s="77">
        <f ca="1">IFERROR(AVERAGE(INDEX(INDIRECT("input!" &amp; $D$112 &amp; ":" &amp; $D$112),FirstRowInput+Integration*COUNT($B$114:B232)):INDEX(INDIRECT("input!" &amp; $D$112 &amp; ":" &amp; $D$112),FirstRowInput+Integration*COUNT($B$114:B232)+Integration-1))*$D$110,"")</f>
        <v>1550124.6893844754</v>
      </c>
      <c r="E233" s="77">
        <f ca="1">IFERROR(AVERAGE(INDEX(INDIRECT("input!" &amp; $E$112 &amp; ":" &amp; $E$112),FirstRowInput+Integration*COUNT($B$114:B232)):INDEX(INDIRECT("input!" &amp; $E$112 &amp; ":" &amp; $E$112),FirstRowInput+Integration*COUNT($B$114:B232)+Integration-1))*$E$110,"")</f>
        <v>17365.800906613036</v>
      </c>
      <c r="F233" s="77">
        <f ca="1">IFERROR(AVERAGE(INDEX(INDIRECT("input!" &amp; $F$112 &amp; ":" &amp; $F$112),FirstRowInput+Integration*COUNT($B$114:B232)):INDEX(INDIRECT("input!" &amp; $F$112 &amp; ":" &amp; $F$112),FirstRowInput+Integration*COUNT($B$114:B232)+Integration-1))*$F$110,"")</f>
        <v>12514.686542684103</v>
      </c>
      <c r="G233" s="77">
        <f ca="1">IFERROR(AVERAGE(INDEX(INDIRECT("input!" &amp; $G$112 &amp; ":" &amp; $G$112),FirstRowInput+Integration*COUNT($B$114:B232)):INDEX(INDIRECT("input!" &amp; $G$112 &amp; ":" &amp; $G$112),FirstRowInput+Integration*COUNT($B$114:B232)+Integration-1))*$G$110,"")</f>
        <v>6994790.5378353596</v>
      </c>
      <c r="H233" s="77">
        <f ca="1">IFERROR(AVERAGE(INDEX(INDIRECT("input!" &amp; $H$112 &amp; ":" &amp; $H$112),FirstRowInput+Integration*COUNT($B$114:B232)):INDEX(INDIRECT("input!" &amp; $H$112 &amp; ":" &amp; $H$112),FirstRowInput+Integration*COUNT($B$114:B232)+Integration-1))*$H$110,"")</f>
        <v>16774.840974396709</v>
      </c>
      <c r="I233" s="42">
        <v>121</v>
      </c>
      <c r="J233" s="74" t="str">
        <f t="shared" si="161"/>
        <v/>
      </c>
      <c r="K233" s="183"/>
      <c r="L233" s="183"/>
      <c r="M233" s="183"/>
      <c r="N233" s="183"/>
      <c r="O233" s="183"/>
      <c r="P233" s="183"/>
      <c r="Q233" s="183"/>
      <c r="R233" s="183"/>
      <c r="S233" s="81">
        <f t="shared" ca="1" si="192"/>
        <v>1893.2802816869671</v>
      </c>
      <c r="T233" s="108">
        <f t="shared" ca="1" si="193"/>
        <v>-269.72420704962133</v>
      </c>
      <c r="U233" s="108">
        <f t="shared" ca="1" si="194"/>
        <v>615.5953071528038</v>
      </c>
      <c r="V233" s="108">
        <f t="shared" ca="1" si="195"/>
        <v>3170.9652562211304</v>
      </c>
    </row>
    <row r="234" spans="1:22" s="14" customFormat="1" ht="15" customHeight="1" x14ac:dyDescent="0.15">
      <c r="A234" s="75">
        <f ca="1">IFERROR(IF(AND(MAX($A$114:A233)&gt;A233+1, MAX($A$114:A233)&gt;20),0,IF(AND(D234="",G234=""),0,IF(OR(D234&gt;LimitSignB10, G234&gt;LimitSignB11),A233+1,0))),"")</f>
        <v>40</v>
      </c>
      <c r="B234" s="76">
        <f ca="1">IFERROR(MyTime(INDEX(INDIRECT("input!"&amp;$B$112&amp;":"&amp;$B$112),FirstRowInput+Integration*COUNT($B$114:B233)) )* $B$110,"")</f>
        <v>3299.6495359999999</v>
      </c>
      <c r="C234" s="77">
        <f ca="1">IFERROR(AVERAGE(INDEX(INDIRECT("input!" &amp; $C$112 &amp; ":" &amp; $C$112),FirstRowInput+Integration*COUNT($B$114:B233)):INDEX(INDIRECT("input!" &amp; $C$112 &amp; ":" &amp; $C$112),FirstRowInput+Integration*COUNT($B$114:B233)+Integration-1))*$C$110,"")</f>
        <v>19503.147521674317</v>
      </c>
      <c r="D234" s="77">
        <f ca="1">IFERROR(AVERAGE(INDEX(INDIRECT("input!" &amp; $D$112 &amp; ":" &amp; $D$112),FirstRowInput+Integration*COUNT($B$114:B233)):INDEX(INDIRECT("input!" &amp; $D$112 &amp; ":" &amp; $D$112),FirstRowInput+Integration*COUNT($B$114:B233)+Integration-1))*$D$110,"")</f>
        <v>1534131.0825645353</v>
      </c>
      <c r="E234" s="77">
        <f ca="1">IFERROR(AVERAGE(INDEX(INDIRECT("input!" &amp; $E$112 &amp; ":" &amp; $E$112),FirstRowInput+Integration*COUNT($B$114:B233)):INDEX(INDIRECT("input!" &amp; $E$112 &amp; ":" &amp; $E$112),FirstRowInput+Integration*COUNT($B$114:B233)+Integration-1))*$E$110,"")</f>
        <v>18510.895370135564</v>
      </c>
      <c r="F234" s="77">
        <f ca="1">IFERROR(AVERAGE(INDEX(INDIRECT("input!" &amp; $F$112 &amp; ":" &amp; $F$112),FirstRowInput+Integration*COUNT($B$114:B233)):INDEX(INDIRECT("input!" &amp; $F$112 &amp; ":" &amp; $F$112),FirstRowInput+Integration*COUNT($B$114:B233)+Integration-1))*$F$110,"")</f>
        <v>10318.73269216165</v>
      </c>
      <c r="G234" s="77">
        <f ca="1">IFERROR(AVERAGE(INDEX(INDIRECT("input!" &amp; $G$112 &amp; ":" &amp; $G$112),FirstRowInput+Integration*COUNT($B$114:B233)):INDEX(INDIRECT("input!" &amp; $G$112 &amp; ":" &amp; $G$112),FirstRowInput+Integration*COUNT($B$114:B233)+Integration-1))*$G$110,"")</f>
        <v>6920599.3346318407</v>
      </c>
      <c r="H234" s="77">
        <f ca="1">IFERROR(AVERAGE(INDEX(INDIRECT("input!" &amp; $H$112 &amp; ":" &amp; $H$112),FirstRowInput+Integration*COUNT($B$114:B233)):INDEX(INDIRECT("input!" &amp; $H$112 &amp; ":" &amp; $H$112),FirstRowInput+Integration*COUNT($B$114:B233)+Integration-1))*$H$110,"")</f>
        <v>15035.205984369606</v>
      </c>
      <c r="I234" s="42">
        <v>122</v>
      </c>
      <c r="J234" s="74" t="str">
        <f t="shared" si="161"/>
        <v/>
      </c>
      <c r="K234" s="183"/>
      <c r="L234" s="394"/>
      <c r="M234" s="394"/>
      <c r="N234" s="394"/>
      <c r="O234" s="394"/>
      <c r="P234" s="394"/>
      <c r="Q234" s="183"/>
      <c r="R234" s="394"/>
      <c r="S234" s="81">
        <f t="shared" ca="1" si="192"/>
        <v>-547.06031011281812</v>
      </c>
      <c r="T234" s="108">
        <f t="shared" ca="1" si="193"/>
        <v>1245.4198281433673</v>
      </c>
      <c r="U234" s="108">
        <f t="shared" ca="1" si="194"/>
        <v>-2388.3362180956337</v>
      </c>
      <c r="V234" s="108">
        <f t="shared" ca="1" si="195"/>
        <v>1294.2155978699975</v>
      </c>
    </row>
    <row r="235" spans="1:22" s="14" customFormat="1" ht="15" customHeight="1" x14ac:dyDescent="0.15">
      <c r="A235" s="75">
        <f ca="1">IFERROR(IF(AND(MAX($A$114:A234)&gt;A234+1, MAX($A$114:A234)&gt;20),0,IF(AND(D235="",G235=""),0,IF(OR(D235&gt;LimitSignB10, G235&gt;LimitSignB11),A234+1,0))),"")</f>
        <v>41</v>
      </c>
      <c r="B235" s="76">
        <f ca="1">IFERROR(MyTime(INDEX(INDIRECT("input!"&amp;$B$112&amp;":"&amp;$B$112),FirstRowInput+Integration*COUNT($B$114:B234)) )* $B$110,"")</f>
        <v>3299.7178879999997</v>
      </c>
      <c r="C235" s="77">
        <f ca="1">IFERROR(AVERAGE(INDEX(INDIRECT("input!" &amp; $C$112 &amp; ":" &amp; $C$112),FirstRowInput+Integration*COUNT($B$114:B234)):INDEX(INDIRECT("input!" &amp; $C$112 &amp; ":" &amp; $C$112),FirstRowInput+Integration*COUNT($B$114:B234)+Integration-1))*$C$110,"")</f>
        <v>19744.954956793812</v>
      </c>
      <c r="D235" s="77">
        <f ca="1">IFERROR(AVERAGE(INDEX(INDIRECT("input!" &amp; $D$112 &amp; ":" &amp; $D$112),FirstRowInput+Integration*COUNT($B$114:B234)):INDEX(INDIRECT("input!" &amp; $D$112 &amp; ":" &amp; $D$112),FirstRowInput+Integration*COUNT($B$114:B234)+Integration-1))*$D$110,"")</f>
        <v>1517666.1894943223</v>
      </c>
      <c r="E235" s="77">
        <f ca="1">IFERROR(AVERAGE(INDEX(INDIRECT("input!" &amp; $E$112 &amp; ":" &amp; $E$112),FirstRowInput+Integration*COUNT($B$114:B234)):INDEX(INDIRECT("input!" &amp; $E$112 &amp; ":" &amp; $E$112),FirstRowInput+Integration*COUNT($B$114:B234)+Integration-1))*$E$110,"")</f>
        <v>20396.08897699901</v>
      </c>
      <c r="F235" s="77">
        <f ca="1">IFERROR(AVERAGE(INDEX(INDIRECT("input!" &amp; $F$112 &amp; ":" &amp; $F$112),FirstRowInput+Integration*COUNT($B$114:B234)):INDEX(INDIRECT("input!" &amp; $F$112 &amp; ":" &amp; $F$112),FirstRowInput+Integration*COUNT($B$114:B234)+Integration-1))*$F$110,"")</f>
        <v>11186.761580855638</v>
      </c>
      <c r="G235" s="77">
        <f ca="1">IFERROR(AVERAGE(INDEX(INDIRECT("input!" &amp; $G$112 &amp; ":" &amp; $G$112),FirstRowInput+Integration*COUNT($B$114:B234)):INDEX(INDIRECT("input!" &amp; $G$112 &amp; ":" &amp; $G$112),FirstRowInput+Integration*COUNT($B$114:B234)+Integration-1))*$G$110,"")</f>
        <v>6855955.631680958</v>
      </c>
      <c r="H235" s="77">
        <f ca="1">IFERROR(AVERAGE(INDEX(INDIRECT("input!" &amp; $H$112 &amp; ":" &amp; $H$112),FirstRowInput+Integration*COUNT($B$114:B234)):INDEX(INDIRECT("input!" &amp; $H$112 &amp; ":" &amp; $H$112),FirstRowInput+Integration*COUNT($B$114:B234)+Integration-1))*$H$110,"")</f>
        <v>10898.576697295623</v>
      </c>
      <c r="I235" s="42">
        <v>123</v>
      </c>
      <c r="J235" s="74" t="str">
        <f t="shared" si="161"/>
        <v/>
      </c>
      <c r="K235" s="183"/>
      <c r="L235" s="394"/>
      <c r="M235" s="394"/>
      <c r="N235" s="394"/>
      <c r="O235" s="394"/>
      <c r="P235" s="394"/>
      <c r="Q235" s="183"/>
      <c r="R235" s="394"/>
      <c r="S235" s="81">
        <f t="shared" ca="1" si="192"/>
        <v>-2013.8660461547865</v>
      </c>
      <c r="T235" s="108">
        <f t="shared" ca="1" si="193"/>
        <v>1888.2063486916122</v>
      </c>
      <c r="U235" s="108">
        <f t="shared" ca="1" si="194"/>
        <v>-5025.59712240524</v>
      </c>
      <c r="V235" s="108">
        <f t="shared" ca="1" si="195"/>
        <v>997.86503009566695</v>
      </c>
    </row>
    <row r="236" spans="1:22" s="14" customFormat="1" ht="15" customHeight="1" x14ac:dyDescent="0.15">
      <c r="A236" s="75">
        <f ca="1">IFERROR(IF(AND(MAX($A$114:A235)&gt;A235+1, MAX($A$114:A235)&gt;20),0,IF(AND(D236="",G236=""),0,IF(OR(D236&gt;LimitSignB10, G236&gt;LimitSignB11),A235+1,0))),"")</f>
        <v>42</v>
      </c>
      <c r="B236" s="76">
        <f ca="1">IFERROR(MyTime(INDEX(INDIRECT("input!"&amp;$B$112&amp;":"&amp;$B$112),FirstRowInput+Integration*COUNT($B$114:B235)) )* $B$110,"")</f>
        <v>3299.7859840000001</v>
      </c>
      <c r="C236" s="77">
        <f ca="1">IFERROR(AVERAGE(INDEX(INDIRECT("input!" &amp; $C$112 &amp; ":" &amp; $C$112),FirstRowInput+Integration*COUNT($B$114:B235)):INDEX(INDIRECT("input!" &amp; $C$112 &amp; ":" &amp; $C$112),FirstRowInput+Integration*COUNT($B$114:B235)+Integration-1))*$C$110,"")</f>
        <v>19352.068768200545</v>
      </c>
      <c r="D236" s="77">
        <f ca="1">IFERROR(AVERAGE(INDEX(INDIRECT("input!" &amp; $D$112 &amp; ":" &amp; $D$112),FirstRowInput+Integration*COUNT($B$114:B235)):INDEX(INDIRECT("input!" &amp; $D$112 &amp; ":" &amp; $D$112),FirstRowInput+Integration*COUNT($B$114:B235)+Integration-1))*$D$110,"")</f>
        <v>1501275.0309847991</v>
      </c>
      <c r="E236" s="77">
        <f ca="1">IFERROR(AVERAGE(INDEX(INDIRECT("input!" &amp; $E$112 &amp; ":" &amp; $E$112),FirstRowInput+Integration*COUNT($B$114:B235)):INDEX(INDIRECT("input!" &amp; $E$112 &amp; ":" &amp; $E$112),FirstRowInput+Integration*COUNT($B$114:B235)+Integration-1))*$E$110,"")</f>
        <v>19796.468411232054</v>
      </c>
      <c r="F236" s="77">
        <f ca="1">IFERROR(AVERAGE(INDEX(INDIRECT("input!" &amp; $F$112 &amp; ":" &amp; $F$112),FirstRowInput+Integration*COUNT($B$114:B235)):INDEX(INDIRECT("input!" &amp; $F$112 &amp; ":" &amp; $F$112),FirstRowInput+Integration*COUNT($B$114:B235)+Integration-1))*$F$110,"")</f>
        <v>3502.891966938786</v>
      </c>
      <c r="G236" s="77">
        <f ca="1">IFERROR(AVERAGE(INDEX(INDIRECT("input!" &amp; $G$112 &amp; ":" &amp; $G$112),FirstRowInput+Integration*COUNT($B$114:B235)):INDEX(INDIRECT("input!" &amp; $G$112 &amp; ":" &amp; $G$112),FirstRowInput+Integration*COUNT($B$114:B235)+Integration-1))*$G$110,"")</f>
        <v>6773008.1651609521</v>
      </c>
      <c r="H236" s="77">
        <f ca="1">IFERROR(AVERAGE(INDEX(INDIRECT("input!" &amp; $H$112 &amp; ":" &amp; $H$112),FirstRowInput+Integration*COUNT($B$114:B235)):INDEX(INDIRECT("input!" &amp; $H$112 &amp; ":" &amp; $H$112),FirstRowInput+Integration*COUNT($B$114:B235)+Integration-1))*$H$110,"")</f>
        <v>11144.591999343316</v>
      </c>
      <c r="I236" s="42">
        <v>124</v>
      </c>
      <c r="J236" s="74" t="str">
        <f t="shared" si="161"/>
        <v/>
      </c>
      <c r="K236" s="183"/>
      <c r="L236" s="394"/>
      <c r="M236" s="394"/>
      <c r="N236" s="394"/>
      <c r="O236" s="394"/>
      <c r="P236" s="394"/>
      <c r="Q236" s="394"/>
      <c r="R236" s="394"/>
      <c r="S236" s="81">
        <f t="shared" ca="1" si="192"/>
        <v>105.67572247738735</v>
      </c>
      <c r="T236" s="108">
        <f t="shared" ca="1" si="193"/>
        <v>-44.834262150216091</v>
      </c>
      <c r="U236" s="108">
        <f t="shared" ca="1" si="194"/>
        <v>-1755.8445072857648</v>
      </c>
      <c r="V236" s="108">
        <f t="shared" ca="1" si="195"/>
        <v>1967.1959522405396</v>
      </c>
    </row>
    <row r="237" spans="1:22" s="14" customFormat="1" ht="15" customHeight="1" x14ac:dyDescent="0.15">
      <c r="A237" s="75">
        <f ca="1">IFERROR(IF(AND(MAX($A$114:A236)&gt;A236+1, MAX($A$114:A236)&gt;20),0,IF(AND(D237="",G237=""),0,IF(OR(D237&gt;LimitSignB10, G237&gt;LimitSignB11),A236+1,0))),"")</f>
        <v>43</v>
      </c>
      <c r="B237" s="76">
        <f ca="1">IFERROR(MyTime(INDEX(INDIRECT("input!"&amp;$B$112&amp;":"&amp;$B$112),FirstRowInput+Integration*COUNT($B$114:B236)) )* $B$110,"")</f>
        <v>3299.8540800000001</v>
      </c>
      <c r="C237" s="77">
        <f ca="1">IFERROR(AVERAGE(INDEX(INDIRECT("input!" &amp; $C$112 &amp; ":" &amp; $C$112),FirstRowInput+Integration*COUNT($B$114:B236)):INDEX(INDIRECT("input!" &amp; $C$112 &amp; ":" &amp; $C$112),FirstRowInput+Integration*COUNT($B$114:B236)+Integration-1))*$C$110,"")</f>
        <v>24174.496586891291</v>
      </c>
      <c r="D237" s="77">
        <f ca="1">IFERROR(AVERAGE(INDEX(INDIRECT("input!" &amp; $D$112 &amp; ":" &amp; $D$112),FirstRowInput+Integration*COUNT($B$114:B236)):INDEX(INDIRECT("input!" &amp; $D$112 &amp; ":" &amp; $D$112),FirstRowInput+Integration*COUNT($B$114:B236)+Integration-1))*$D$110,"")</f>
        <v>1477375.2868239018</v>
      </c>
      <c r="E237" s="77">
        <f ca="1">IFERROR(AVERAGE(INDEX(INDIRECT("input!" &amp; $E$112 &amp; ":" &amp; $E$112),FirstRowInput+Integration*COUNT($B$114:B236)):INDEX(INDIRECT("input!" &amp; $E$112 &amp; ":" &amp; $E$112),FirstRowInput+Integration*COUNT($B$114:B236)+Integration-1))*$E$110,"")</f>
        <v>16530.00775531535</v>
      </c>
      <c r="F237" s="77">
        <f ca="1">IFERROR(AVERAGE(INDEX(INDIRECT("input!" &amp; $F$112 &amp; ":" &amp; $F$112),FirstRowInput+Integration*COUNT($B$114:B236)):INDEX(INDIRECT("input!" &amp; $F$112 &amp; ":" &amp; $F$112),FirstRowInput+Integration*COUNT($B$114:B236)+Integration-1))*$F$110,"")</f>
        <v>2406.9499792328329</v>
      </c>
      <c r="G237" s="77">
        <f ca="1">IFERROR(AVERAGE(INDEX(INDIRECT("input!" &amp; $G$112 &amp; ":" &amp; $G$112),FirstRowInput+Integration*COUNT($B$114:B236)):INDEX(INDIRECT("input!" &amp; $G$112 &amp; ":" &amp; $G$112),FirstRowInput+Integration*COUNT($B$114:B236)+Integration-1))*$G$110,"")</f>
        <v>6674163.0521730529</v>
      </c>
      <c r="H237" s="77">
        <f ca="1">IFERROR(AVERAGE(INDEX(INDIRECT("input!" &amp; $H$112 &amp; ":" &amp; $H$112),FirstRowInput+Integration*COUNT($B$114:B236)):INDEX(INDIRECT("input!" &amp; $H$112 &amp; ":" &amp; $H$112),FirstRowInput+Integration*COUNT($B$114:B236)+Integration-1))*$H$110,"")</f>
        <v>14146.154281046613</v>
      </c>
      <c r="I237" s="42">
        <v>125</v>
      </c>
      <c r="J237" s="74" t="str">
        <f t="shared" si="161"/>
        <v/>
      </c>
      <c r="K237" s="183"/>
      <c r="L237" s="394"/>
      <c r="M237" s="394"/>
      <c r="N237" s="394"/>
      <c r="O237" s="394"/>
      <c r="P237" s="394"/>
      <c r="Q237" s="394"/>
      <c r="R237" s="394"/>
      <c r="S237" s="81">
        <f t="shared" ca="1" si="192"/>
        <v>3035.1776218524237</v>
      </c>
      <c r="T237" s="108">
        <f t="shared" ca="1" si="193"/>
        <v>-1254.8144566897608</v>
      </c>
      <c r="U237" s="108">
        <f t="shared" ca="1" si="194"/>
        <v>1431.6897421684153</v>
      </c>
      <c r="V237" s="108">
        <f t="shared" ca="1" si="195"/>
        <v>4638.6655015364322</v>
      </c>
    </row>
    <row r="238" spans="1:22" s="14" customFormat="1" ht="15" customHeight="1" x14ac:dyDescent="0.15">
      <c r="A238" s="75">
        <f ca="1">IFERROR(IF(AND(MAX($A$114:A237)&gt;A237+1, MAX($A$114:A237)&gt;20),0,IF(AND(D238="",G238=""),0,IF(OR(D238&gt;LimitSignB10, G238&gt;LimitSignB11),A237+1,0))),"")</f>
        <v>44</v>
      </c>
      <c r="B238" s="76">
        <f ca="1">IFERROR(MyTime(INDEX(INDIRECT("input!"&amp;$B$112&amp;":"&amp;$B$112),FirstRowInput+Integration*COUNT($B$114:B237)) )* $B$110,"")</f>
        <v>3299.921664</v>
      </c>
      <c r="C238" s="77">
        <f ca="1">IFERROR(AVERAGE(INDEX(INDIRECT("input!" &amp; $C$112 &amp; ":" &amp; $C$112),FirstRowInput+Integration*COUNT($B$114:B237)):INDEX(INDIRECT("input!" &amp; $C$112 &amp; ":" &amp; $C$112),FirstRowInput+Integration*COUNT($B$114:B237)+Integration-1))*$C$110,"")</f>
        <v>20113.023767051844</v>
      </c>
      <c r="D238" s="77">
        <f ca="1">IFERROR(AVERAGE(INDEX(INDIRECT("input!" &amp; $D$112 &amp; ":" &amp; $D$112),FirstRowInput+Integration*COUNT($B$114:B237)):INDEX(INDIRECT("input!" &amp; $D$112 &amp; ":" &amp; $D$112),FirstRowInput+Integration*COUNT($B$114:B237)+Integration-1))*$D$110,"")</f>
        <v>1463556.820054655</v>
      </c>
      <c r="E238" s="77">
        <f ca="1">IFERROR(AVERAGE(INDEX(INDIRECT("input!" &amp; $E$112 &amp; ":" &amp; $E$112),FirstRowInput+Integration*COUNT($B$114:B237)):INDEX(INDIRECT("input!" &amp; $E$112 &amp; ":" &amp; $E$112),FirstRowInput+Integration*COUNT($B$114:B237)+Integration-1))*$E$110,"")</f>
        <v>17376.508022152968</v>
      </c>
      <c r="F238" s="77">
        <f ca="1">IFERROR(AVERAGE(INDEX(INDIRECT("input!" &amp; $F$112 &amp; ":" &amp; $F$112),FirstRowInput+Integration*COUNT($B$114:B237)):INDEX(INDIRECT("input!" &amp; $F$112 &amp; ":" &amp; $F$112),FirstRowInput+Integration*COUNT($B$114:B237)+Integration-1))*$F$110,"")</f>
        <v>20996.019426214061</v>
      </c>
      <c r="G238" s="77">
        <f ca="1">IFERROR(AVERAGE(INDEX(INDIRECT("input!" &amp; $G$112 &amp; ":" &amp; $G$112),FirstRowInput+Integration*COUNT($B$114:B237)):INDEX(INDIRECT("input!" &amp; $G$112 &amp; ":" &amp; $G$112),FirstRowInput+Integration*COUNT($B$114:B237)+Integration-1))*$G$110,"")</f>
        <v>6604937.7913621441</v>
      </c>
      <c r="H238" s="77">
        <f ca="1">IFERROR(AVERAGE(INDEX(INDIRECT("input!" &amp; $H$112 &amp; ":" &amp; $H$112),FirstRowInput+Integration*COUNT($B$114:B237)):INDEX(INDIRECT("input!" &amp; $H$112 &amp; ":" &amp; $H$112),FirstRowInput+Integration*COUNT($B$114:B237)+Integration-1))*$H$110,"")</f>
        <v>13806.569463730242</v>
      </c>
      <c r="I238" s="42">
        <v>126</v>
      </c>
      <c r="J238" s="74" t="str">
        <f t="shared" si="161"/>
        <v/>
      </c>
      <c r="K238" s="183"/>
      <c r="L238" s="394"/>
      <c r="M238" s="394"/>
      <c r="N238" s="394"/>
      <c r="O238" s="394"/>
      <c r="P238" s="394"/>
      <c r="Q238" s="394"/>
      <c r="R238" s="394"/>
      <c r="S238" s="81">
        <f t="shared" ca="1" si="192"/>
        <v>3660.2613772930736</v>
      </c>
      <c r="T238" s="108">
        <f t="shared" ca="1" si="193"/>
        <v>-66.370673540426651</v>
      </c>
      <c r="U238" s="108">
        <f t="shared" ca="1" si="194"/>
        <v>3702.0828282806651</v>
      </c>
      <c r="V238" s="108">
        <f t="shared" ca="1" si="195"/>
        <v>3618.439926305482</v>
      </c>
    </row>
    <row r="239" spans="1:22" s="14" customFormat="1" ht="15" customHeight="1" x14ac:dyDescent="0.15">
      <c r="A239" s="75">
        <f ca="1">IFERROR(IF(AND(MAX($A$114:A238)&gt;A238+1, MAX($A$114:A238)&gt;20),0,IF(AND(D239="",G239=""),0,IF(OR(D239&gt;LimitSignB10, G239&gt;LimitSignB11),A238+1,0))),"")</f>
        <v>45</v>
      </c>
      <c r="B239" s="76">
        <f ca="1">IFERROR(MyTime(INDEX(INDIRECT("input!"&amp;$B$112&amp;":"&amp;$B$112),FirstRowInput+Integration*COUNT($B$114:B238)) )* $B$110,"")</f>
        <v>3299.9897599999999</v>
      </c>
      <c r="C239" s="77">
        <f ca="1">IFERROR(AVERAGE(INDEX(INDIRECT("input!" &amp; $C$112 &amp; ":" &amp; $C$112),FirstRowInput+Integration*COUNT($B$114:B238)):INDEX(INDIRECT("input!" &amp; $C$112 &amp; ":" &amp; $C$112),FirstRowInput+Integration*COUNT($B$114:B238)+Integration-1))*$C$110,"")</f>
        <v>20962.263482742066</v>
      </c>
      <c r="D239" s="77">
        <f ca="1">IFERROR(AVERAGE(INDEX(INDIRECT("input!" &amp; $D$112 &amp; ":" &amp; $D$112),FirstRowInput+Integration*COUNT($B$114:B238)):INDEX(INDIRECT("input!" &amp; $D$112 &amp; ":" &amp; $D$112),FirstRowInput+Integration*COUNT($B$114:B238)+Integration-1))*$D$110,"")</f>
        <v>1464643.1020120098</v>
      </c>
      <c r="E239" s="77">
        <f ca="1">IFERROR(AVERAGE(INDEX(INDIRECT("input!" &amp; $E$112 &amp; ":" &amp; $E$112),FirstRowInput+Integration*COUNT($B$114:B238)):INDEX(INDIRECT("input!" &amp; $E$112 &amp; ":" &amp; $E$112),FirstRowInput+Integration*COUNT($B$114:B238)+Integration-1))*$E$110,"")</f>
        <v>18906.895321614018</v>
      </c>
      <c r="F239" s="77">
        <f ca="1">IFERROR(AVERAGE(INDEX(INDIRECT("input!" &amp; $F$112 &amp; ":" &amp; $F$112),FirstRowInput+Integration*COUNT($B$114:B238)):INDEX(INDIRECT("input!" &amp; $F$112 &amp; ":" &amp; $F$112),FirstRowInput+Integration*COUNT($B$114:B238)+Integration-1))*$F$110,"")</f>
        <v>13065.494715301329</v>
      </c>
      <c r="G239" s="77">
        <f ca="1">IFERROR(AVERAGE(INDEX(INDIRECT("input!" &amp; $G$112 &amp; ":" &amp; $G$112),FirstRowInput+Integration*COUNT($B$114:B238)):INDEX(INDIRECT("input!" &amp; $G$112 &amp; ":" &amp; $G$112),FirstRowInput+Integration*COUNT($B$114:B238)+Integration-1))*$G$110,"")</f>
        <v>6615854.2773699798</v>
      </c>
      <c r="H239" s="77">
        <f ca="1">IFERROR(AVERAGE(INDEX(INDIRECT("input!" &amp; $H$112 &amp; ":" &amp; $H$112),FirstRowInput+Integration*COUNT($B$114:B238)):INDEX(INDIRECT("input!" &amp; $H$112 &amp; ":" &amp; $H$112),FirstRowInput+Integration*COUNT($B$114:B238)+Integration-1))*$H$110,"")</f>
        <v>19159.000647230994</v>
      </c>
      <c r="I239" s="42">
        <v>127</v>
      </c>
      <c r="J239" s="74" t="str">
        <f t="shared" si="161"/>
        <v/>
      </c>
      <c r="K239" s="183"/>
      <c r="L239" s="394"/>
      <c r="M239" s="394"/>
      <c r="N239" s="394"/>
      <c r="O239" s="394"/>
      <c r="P239" s="394"/>
      <c r="Q239" s="394"/>
      <c r="R239" s="394"/>
      <c r="S239" s="81">
        <f t="shared" ca="1" si="192"/>
        <v>287.53019309053161</v>
      </c>
      <c r="T239" s="108">
        <f t="shared" ca="1" si="193"/>
        <v>803.9653572750467</v>
      </c>
      <c r="U239" s="108">
        <f t="shared" ca="1" si="194"/>
        <v>-495.13313240781827</v>
      </c>
      <c r="V239" s="108">
        <f t="shared" ca="1" si="195"/>
        <v>1070.1935185888815</v>
      </c>
    </row>
    <row r="240" spans="1:22" s="14" customFormat="1" ht="15" customHeight="1" x14ac:dyDescent="0.15">
      <c r="A240" s="75">
        <f ca="1">IFERROR(IF(AND(MAX($A$114:A239)&gt;A239+1, MAX($A$114:A239)&gt;20),0,IF(AND(D240="",G240=""),0,IF(OR(D240&gt;LimitSignB10, G240&gt;LimitSignB11),A239+1,0))),"")</f>
        <v>46</v>
      </c>
      <c r="B240" s="76">
        <f ca="1">IFERROR(MyTime(INDEX(INDIRECT("input!"&amp;$B$112&amp;":"&amp;$B$112),FirstRowInput+Integration*COUNT($B$114:B239)) )* $B$110,"")</f>
        <v>3300.0578560000004</v>
      </c>
      <c r="C240" s="77">
        <f ca="1">IFERROR(AVERAGE(INDEX(INDIRECT("input!" &amp; $C$112 &amp; ":" &amp; $C$112),FirstRowInput+Integration*COUNT($B$114:B239)):INDEX(INDIRECT("input!" &amp; $C$112 &amp; ":" &amp; $C$112),FirstRowInput+Integration*COUNT($B$114:B239)+Integration-1))*$C$110,"")</f>
        <v>22308.966286201608</v>
      </c>
      <c r="D240" s="77">
        <f ca="1">IFERROR(AVERAGE(INDEX(INDIRECT("input!" &amp; $D$112 &amp; ":" &amp; $D$112),FirstRowInput+Integration*COUNT($B$114:B239)):INDEX(INDIRECT("input!" &amp; $D$112 &amp; ":" &amp; $D$112),FirstRowInput+Integration*COUNT($B$114:B239)+Integration-1))*$D$110,"")</f>
        <v>1492724.643118931</v>
      </c>
      <c r="E240" s="77">
        <f ca="1">IFERROR(AVERAGE(INDEX(INDIRECT("input!" &amp; $E$112 &amp; ":" &amp; $E$112),FirstRowInput+Integration*COUNT($B$114:B239)):INDEX(INDIRECT("input!" &amp; $E$112 &amp; ":" &amp; $E$112),FirstRowInput+Integration*COUNT($B$114:B239)+Integration-1))*$E$110,"")</f>
        <v>19117.180083783915</v>
      </c>
      <c r="F240" s="77">
        <f ca="1">IFERROR(AVERAGE(INDEX(INDIRECT("input!" &amp; $F$112 &amp; ":" &amp; $F$112),FirstRowInput+Integration*COUNT($B$114:B239)):INDEX(INDIRECT("input!" &amp; $F$112 &amp; ":" &amp; $F$112),FirstRowInput+Integration*COUNT($B$114:B239)+Integration-1))*$F$110,"")</f>
        <v>9218.1292375695739</v>
      </c>
      <c r="G240" s="77">
        <f ca="1">IFERROR(AVERAGE(INDEX(INDIRECT("input!" &amp; $G$112 &amp; ":" &amp; $G$112),FirstRowInput+Integration*COUNT($B$114:B239)):INDEX(INDIRECT("input!" &amp; $G$112 &amp; ":" &amp; $G$112),FirstRowInput+Integration*COUNT($B$114:B239)+Integration-1))*$G$110,"")</f>
        <v>6764689.5204684427</v>
      </c>
      <c r="H240" s="77">
        <f ca="1">IFERROR(AVERAGE(INDEX(INDIRECT("input!" &amp; $H$112 &amp; ":" &amp; $H$112),FirstRowInput+Integration*COUNT($B$114:B239)):INDEX(INDIRECT("input!" &amp; $H$112 &amp; ":" &amp; $H$112),FirstRowInput+Integration*COUNT($B$114:B239)+Integration-1))*$H$110,"")</f>
        <v>11085.47755535376</v>
      </c>
      <c r="I240" s="42">
        <v>128</v>
      </c>
      <c r="J240" s="74" t="str">
        <f t="shared" si="161"/>
        <v/>
      </c>
      <c r="K240" s="183"/>
      <c r="L240" s="394"/>
      <c r="M240" s="394"/>
      <c r="N240" s="394"/>
      <c r="O240" s="394"/>
      <c r="P240" s="394"/>
      <c r="Q240" s="394"/>
      <c r="R240" s="394"/>
      <c r="S240" s="81">
        <f t="shared" ca="1" si="192"/>
        <v>-2386.2272964319127</v>
      </c>
      <c r="T240" s="108">
        <f t="shared" ca="1" si="193"/>
        <v>1252.3794535284324</v>
      </c>
      <c r="U240" s="108">
        <f t="shared" ca="1" si="194"/>
        <v>-2010.8468246427765</v>
      </c>
      <c r="V240" s="108">
        <f t="shared" ca="1" si="195"/>
        <v>-2761.6077682210489</v>
      </c>
    </row>
    <row r="241" spans="1:22" s="14" customFormat="1" ht="15" customHeight="1" x14ac:dyDescent="0.15">
      <c r="A241" s="75">
        <f ca="1">IFERROR(IF(AND(MAX($A$114:A240)&gt;A240+1, MAX($A$114:A240)&gt;20),0,IF(AND(D241="",G241=""),0,IF(OR(D241&gt;LimitSignB10, G241&gt;LimitSignB11),A240+1,0))),"")</f>
        <v>47</v>
      </c>
      <c r="B241" s="76">
        <f ca="1">IFERROR(MyTime(INDEX(INDIRECT("input!"&amp;$B$112&amp;":"&amp;$B$112),FirstRowInput+Integration*COUNT($B$114:B240)) )* $B$110,"")</f>
        <v>3300.1259520000003</v>
      </c>
      <c r="C241" s="77">
        <f ca="1">IFERROR(AVERAGE(INDEX(INDIRECT("input!" &amp; $C$112 &amp; ":" &amp; $C$112),FirstRowInput+Integration*COUNT($B$114:B240)):INDEX(INDIRECT("input!" &amp; $C$112 &amp; ":" &amp; $C$112),FirstRowInput+Integration*COUNT($B$114:B240)+Integration-1))*$C$110,"")</f>
        <v>19574.63382666124</v>
      </c>
      <c r="D241" s="77">
        <f ca="1">IFERROR(AVERAGE(INDEX(INDIRECT("input!" &amp; $D$112 &amp; ":" &amp; $D$112),FirstRowInput+Integration*COUNT($B$114:B240)):INDEX(INDIRECT("input!" &amp; $D$112 &amp; ":" &amp; $D$112),FirstRowInput+Integration*COUNT($B$114:B240)+Integration-1))*$D$110,"")</f>
        <v>1530741.2639386295</v>
      </c>
      <c r="E241" s="77">
        <f ca="1">IFERROR(AVERAGE(INDEX(INDIRECT("input!" &amp; $E$112 &amp; ":" &amp; $E$112),FirstRowInput+Integration*COUNT($B$114:B240)):INDEX(INDIRECT("input!" &amp; $E$112 &amp; ":" &amp; $E$112),FirstRowInput+Integration*COUNT($B$114:B240)+Integration-1))*$E$110,"")</f>
        <v>19803.723514120793</v>
      </c>
      <c r="F241" s="77">
        <f ca="1">IFERROR(AVERAGE(INDEX(INDIRECT("input!" &amp; $F$112 &amp; ":" &amp; $F$112),FirstRowInput+Integration*COUNT($B$114:B240)):INDEX(INDIRECT("input!" &amp; $F$112 &amp; ":" &amp; $F$112),FirstRowInput+Integration*COUNT($B$114:B240)+Integration-1))*$F$110,"")</f>
        <v>8404.3715441486111</v>
      </c>
      <c r="G241" s="77">
        <f ca="1">IFERROR(AVERAGE(INDEX(INDIRECT("input!" &amp; $G$112 &amp; ":" &amp; $G$112),FirstRowInput+Integration*COUNT($B$114:B240)):INDEX(INDIRECT("input!" &amp; $G$112 &amp; ":" &amp; $G$112),FirstRowInput+Integration*COUNT($B$114:B240)+Integration-1))*$G$110,"")</f>
        <v>6921936.9396067485</v>
      </c>
      <c r="H241" s="77">
        <f ca="1">IFERROR(AVERAGE(INDEX(INDIRECT("input!" &amp; $H$112 &amp; ":" &amp; $H$112),FirstRowInput+Integration*COUNT($B$114:B240)):INDEX(INDIRECT("input!" &amp; $H$112 &amp; ":" &amp; $H$112),FirstRowInput+Integration*COUNT($B$114:B240)+Integration-1))*$H$110,"")</f>
        <v>6161.8302405804452</v>
      </c>
      <c r="I241" s="42">
        <v>129</v>
      </c>
      <c r="J241" s="74" t="str">
        <f t="shared" si="161"/>
        <v/>
      </c>
      <c r="K241" s="183"/>
      <c r="L241" s="394"/>
      <c r="M241" s="394"/>
      <c r="N241" s="394"/>
      <c r="O241" s="394"/>
      <c r="P241" s="394"/>
      <c r="Q241" s="394"/>
      <c r="R241" s="394"/>
      <c r="S241" s="81">
        <f t="shared" ca="1" si="192"/>
        <v>-1363.8996165908493</v>
      </c>
      <c r="T241" s="108">
        <f t="shared" ca="1" si="193"/>
        <v>1120.8463900640854</v>
      </c>
      <c r="U241" s="108">
        <f t="shared" ca="1" si="194"/>
        <v>-597.51632054913171</v>
      </c>
      <c r="V241" s="108">
        <f t="shared" ca="1" si="195"/>
        <v>-2130.2829126325669</v>
      </c>
    </row>
    <row r="242" spans="1:22" s="14" customFormat="1" ht="15" customHeight="1" x14ac:dyDescent="0.15">
      <c r="A242" s="75">
        <f ca="1">IFERROR(IF(AND(MAX($A$114:A241)&gt;A241+1, MAX($A$114:A241)&gt;20),0,IF(AND(D242="",G242=""),0,IF(OR(D242&gt;LimitSignB10, G242&gt;LimitSignB11),A241+1,0))),"")</f>
        <v>48</v>
      </c>
      <c r="B242" s="76">
        <f ca="1">IFERROR(MyTime(INDEX(INDIRECT("input!"&amp;$B$112&amp;":"&amp;$B$112),FirstRowInput+Integration*COUNT($B$114:B241)) )* $B$110,"")</f>
        <v>3300.1940479999998</v>
      </c>
      <c r="C242" s="77">
        <f ca="1">IFERROR(AVERAGE(INDEX(INDIRECT("input!" &amp; $C$112 &amp; ":" &amp; $C$112),FirstRowInput+Integration*COUNT($B$114:B241)):INDEX(INDIRECT("input!" &amp; $C$112 &amp; ":" &amp; $C$112),FirstRowInput+Integration*COUNT($B$114:B241)+Integration-1))*$C$110,"")</f>
        <v>19134.675268998992</v>
      </c>
      <c r="D242" s="77">
        <f ca="1">IFERROR(AVERAGE(INDEX(INDIRECT("input!" &amp; $D$112 &amp; ":" &amp; $D$112),FirstRowInput+Integration*COUNT($B$114:B241)):INDEX(INDIRECT("input!" &amp; $D$112 &amp; ":" &amp; $D$112),FirstRowInput+Integration*COUNT($B$114:B241)+Integration-1))*$D$110,"")</f>
        <v>1545912.084445585</v>
      </c>
      <c r="E242" s="77">
        <f ca="1">IFERROR(AVERAGE(INDEX(INDIRECT("input!" &amp; $E$112 &amp; ":" &amp; $E$112),FirstRowInput+Integration*COUNT($B$114:B241)):INDEX(INDIRECT("input!" &amp; $E$112 &amp; ":" &amp; $E$112),FirstRowInput+Integration*COUNT($B$114:B241)+Integration-1))*$E$110,"")</f>
        <v>18854.113956855217</v>
      </c>
      <c r="F242" s="77">
        <f ca="1">IFERROR(AVERAGE(INDEX(INDIRECT("input!" &amp; $F$112 &amp; ":" &amp; $F$112),FirstRowInput+Integration*COUNT($B$114:B241)):INDEX(INDIRECT("input!" &amp; $F$112 &amp; ":" &amp; $F$112),FirstRowInput+Integration*COUNT($B$114:B241)+Integration-1))*$F$110,"")</f>
        <v>8518.3536385964635</v>
      </c>
      <c r="G242" s="77">
        <f ca="1">IFERROR(AVERAGE(INDEX(INDIRECT("input!" &amp; $G$112 &amp; ":" &amp; $G$112),FirstRowInput+Integration*COUNT($B$114:B241)):INDEX(INDIRECT("input!" &amp; $G$112 &amp; ":" &amp; $G$112),FirstRowInput+Integration*COUNT($B$114:B241)+Integration-1))*$G$110,"")</f>
        <v>6990170.2498110281</v>
      </c>
      <c r="H242" s="77">
        <f ca="1">IFERROR(AVERAGE(INDEX(INDIRECT("input!" &amp; $H$112 &amp; ":" &amp; $H$112),FirstRowInput+Integration*COUNT($B$114:B241)):INDEX(INDIRECT("input!" &amp; $H$112 &amp; ":" &amp; $H$112),FirstRowInput+Integration*COUNT($B$114:B241)+Integration-1))*$H$110,"")</f>
        <v>7663.5967868011976</v>
      </c>
      <c r="I242" s="42">
        <v>130</v>
      </c>
      <c r="J242" s="74" t="str">
        <f t="shared" ref="J242:J305" si="196">IF(K242=1,I242,"")</f>
        <v/>
      </c>
      <c r="K242" s="183"/>
      <c r="L242" s="394"/>
      <c r="M242" s="394"/>
      <c r="N242" s="394"/>
      <c r="O242" s="394"/>
      <c r="P242" s="394"/>
      <c r="Q242" s="394"/>
      <c r="R242" s="394"/>
      <c r="S242" s="81">
        <f t="shared" ca="1" si="192"/>
        <v>11.248648294200393</v>
      </c>
      <c r="T242" s="108">
        <f t="shared" ca="1" si="193"/>
        <v>169.27250231524522</v>
      </c>
      <c r="U242" s="108">
        <f t="shared" ca="1" si="194"/>
        <v>1105.618663508305</v>
      </c>
      <c r="V242" s="108">
        <f t="shared" ca="1" si="195"/>
        <v>-1083.1213669199042</v>
      </c>
    </row>
    <row r="243" spans="1:22" s="14" customFormat="1" ht="15" customHeight="1" x14ac:dyDescent="0.15">
      <c r="A243" s="75">
        <f ca="1">IFERROR(IF(AND(MAX($A$114:A242)&gt;A242+1, MAX($A$114:A242)&gt;20),0,IF(AND(D243="",G243=""),0,IF(OR(D243&gt;LimitSignB10, G243&gt;LimitSignB11),A242+1,0))),"")</f>
        <v>49</v>
      </c>
      <c r="B243" s="76">
        <f ca="1">IFERROR(MyTime(INDEX(INDIRECT("input!"&amp;$B$112&amp;":"&amp;$B$112),FirstRowInput+Integration*COUNT($B$114:B242)) )* $B$110,"")</f>
        <v>3300.261888</v>
      </c>
      <c r="C243" s="77">
        <f ca="1">IFERROR(AVERAGE(INDEX(INDIRECT("input!" &amp; $C$112 &amp; ":" &amp; $C$112),FirstRowInput+Integration*COUNT($B$114:B242)):INDEX(INDIRECT("input!" &amp; $C$112 &amp; ":" &amp; $C$112),FirstRowInput+Integration*COUNT($B$114:B242)+Integration-1))*$C$110,"")</f>
        <v>17783.880459604272</v>
      </c>
      <c r="D243" s="77">
        <f ca="1">IFERROR(AVERAGE(INDEX(INDIRECT("input!" &amp; $D$112 &amp; ":" &amp; $D$112),FirstRowInput+Integration*COUNT($B$114:B242)):INDEX(INDIRECT("input!" &amp; $D$112 &amp; ":" &amp; $D$112),FirstRowInput+Integration*COUNT($B$114:B242)+Integration-1))*$D$110,"")</f>
        <v>1535770.8082007866</v>
      </c>
      <c r="E243" s="77">
        <f ca="1">IFERROR(AVERAGE(INDEX(INDIRECT("input!" &amp; $E$112 &amp; ":" &amp; $E$112),FirstRowInput+Integration*COUNT($B$114:B242)):INDEX(INDIRECT("input!" &amp; $E$112 &amp; ":" &amp; $E$112),FirstRowInput+Integration*COUNT($B$114:B242)+Integration-1))*$E$110,"")</f>
        <v>17900.575738623113</v>
      </c>
      <c r="F243" s="77">
        <f ca="1">IFERROR(AVERAGE(INDEX(INDIRECT("input!" &amp; $F$112 &amp; ":" &amp; $F$112),FirstRowInput+Integration*COUNT($B$114:B242)):INDEX(INDIRECT("input!" &amp; $F$112 &amp; ":" &amp; $F$112),FirstRowInput+Integration*COUNT($B$114:B242)+Integration-1))*$F$110,"")</f>
        <v>13458.120749850505</v>
      </c>
      <c r="G243" s="77">
        <f ca="1">IFERROR(AVERAGE(INDEX(INDIRECT("input!" &amp; $G$112 &amp; ":" &amp; $G$112),FirstRowInput+Integration*COUNT($B$114:B242)):INDEX(INDIRECT("input!" &amp; $G$112 &amp; ":" &amp; $G$112),FirstRowInput+Integration*COUNT($B$114:B242)+Integration-1))*$G$110,"")</f>
        <v>6944837.8703829842</v>
      </c>
      <c r="H243" s="77">
        <f ca="1">IFERROR(AVERAGE(INDEX(INDIRECT("input!" &amp; $H$112 &amp; ":" &amp; $H$112),FirstRowInput+Integration*COUNT($B$114:B242)):INDEX(INDIRECT("input!" &amp; $H$112 &amp; ":" &amp; $H$112),FirstRowInput+Integration*COUNT($B$114:B242)+Integration-1))*$H$110,"")</f>
        <v>12979.452122119206</v>
      </c>
      <c r="I243" s="42">
        <v>131</v>
      </c>
      <c r="J243" s="74" t="str">
        <f t="shared" si="196"/>
        <v/>
      </c>
      <c r="K243" s="183"/>
      <c r="L243" s="394"/>
      <c r="M243" s="394"/>
      <c r="N243" s="394"/>
      <c r="O243" s="394"/>
      <c r="P243" s="394"/>
      <c r="Q243" s="394"/>
      <c r="R243" s="394"/>
      <c r="S243" s="81">
        <f t="shared" ca="1" si="192"/>
        <v>-592.60392337545909</v>
      </c>
      <c r="T243" s="108">
        <f t="shared" ca="1" si="193"/>
        <v>-1068.8042114784148</v>
      </c>
      <c r="U243" s="108">
        <f t="shared" ca="1" si="194"/>
        <v>2.1451162043904333</v>
      </c>
      <c r="V243" s="108">
        <f t="shared" ca="1" si="195"/>
        <v>-1187.3529629553086</v>
      </c>
    </row>
    <row r="244" spans="1:22" s="14" customFormat="1" ht="15" customHeight="1" x14ac:dyDescent="0.15">
      <c r="A244" s="75">
        <f ca="1">IFERROR(IF(AND(MAX($A$114:A243)&gt;A243+1, MAX($A$114:A243)&gt;20),0,IF(AND(D244="",G244=""),0,IF(OR(D244&gt;LimitSignB10, G244&gt;LimitSignB11),A243+1,0))),"")</f>
        <v>50</v>
      </c>
      <c r="B244" s="76">
        <f ca="1">IFERROR(MyTime(INDEX(INDIRECT("input!"&amp;$B$112&amp;":"&amp;$B$112),FirstRowInput+Integration*COUNT($B$114:B243)) )* $B$110,"")</f>
        <v>3300.3299840000004</v>
      </c>
      <c r="C244" s="77">
        <f ca="1">IFERROR(AVERAGE(INDEX(INDIRECT("input!" &amp; $C$112 &amp; ":" &amp; $C$112),FirstRowInput+Integration*COUNT($B$114:B243)):INDEX(INDIRECT("input!" &amp; $C$112 &amp; ":" &amp; $C$112),FirstRowInput+Integration*COUNT($B$114:B243)+Integration-1))*$C$110,"")</f>
        <v>17879.167669205421</v>
      </c>
      <c r="D244" s="77">
        <f ca="1">IFERROR(AVERAGE(INDEX(INDIRECT("input!" &amp; $D$112 &amp; ":" &amp; $D$112),FirstRowInput+Integration*COUNT($B$114:B243)):INDEX(INDIRECT("input!" &amp; $D$112 &amp; ":" &amp; $D$112),FirstRowInput+Integration*COUNT($B$114:B243)+Integration-1))*$D$110,"")</f>
        <v>1495562.9512057479</v>
      </c>
      <c r="E244" s="77">
        <f ca="1">IFERROR(AVERAGE(INDEX(INDIRECT("input!" &amp; $E$112 &amp; ":" &amp; $E$112),FirstRowInput+Integration*COUNT($B$114:B243)):INDEX(INDIRECT("input!" &amp; $E$112 &amp; ":" &amp; $E$112),FirstRowInput+Integration*COUNT($B$114:B243)+Integration-1))*$E$110,"")</f>
        <v>16377.960529267895</v>
      </c>
      <c r="F244" s="77">
        <f ca="1">IFERROR(AVERAGE(INDEX(INDIRECT("input!" &amp; $F$112 &amp; ":" &amp; $F$112),FirstRowInput+Integration*COUNT($B$114:B243)):INDEX(INDIRECT("input!" &amp; $F$112 &amp; ":" &amp; $F$112),FirstRowInput+Integration*COUNT($B$114:B243)+Integration-1))*$F$110,"")</f>
        <v>13513.776496320921</v>
      </c>
      <c r="G244" s="77">
        <f ca="1">IFERROR(AVERAGE(INDEX(INDIRECT("input!" &amp; $G$112 &amp; ":" &amp; $G$112),FirstRowInput+Integration*COUNT($B$114:B243)):INDEX(INDIRECT("input!" &amp; $G$112 &amp; ":" &amp; $G$112),FirstRowInput+Integration*COUNT($B$114:B243)+Integration-1))*$G$110,"")</f>
        <v>6759630.490318493</v>
      </c>
      <c r="H244" s="77">
        <f ca="1">IFERROR(AVERAGE(INDEX(INDIRECT("input!" &amp; $H$112 &amp; ":" &amp; $H$112),FirstRowInput+Integration*COUNT($B$114:B243)):INDEX(INDIRECT("input!" &amp; $H$112 &amp; ":" &amp; $H$112),FirstRowInput+Integration*COUNT($B$114:B243)+Integration-1))*$H$110,"")</f>
        <v>9303.3148777184306</v>
      </c>
      <c r="I244" s="42">
        <v>132</v>
      </c>
      <c r="J244" s="74" t="str">
        <f t="shared" si="196"/>
        <v/>
      </c>
      <c r="K244" s="183"/>
      <c r="L244" s="394"/>
      <c r="M244" s="394"/>
      <c r="N244" s="394"/>
      <c r="O244" s="394"/>
      <c r="P244" s="394"/>
      <c r="Q244" s="394"/>
      <c r="R244" s="394"/>
      <c r="S244" s="81">
        <f t="shared" ca="1" si="192"/>
        <v>376.24641611682728</v>
      </c>
      <c r="T244" s="108">
        <f t="shared" ca="1" si="193"/>
        <v>-2162.7754365674737</v>
      </c>
      <c r="U244" s="108">
        <f t="shared" ca="1" si="194"/>
        <v>2041.2398636910893</v>
      </c>
      <c r="V244" s="108">
        <f t="shared" ca="1" si="195"/>
        <v>-1288.7470314574348</v>
      </c>
    </row>
    <row r="245" spans="1:22" s="14" customFormat="1" ht="15" customHeight="1" x14ac:dyDescent="0.15">
      <c r="A245" s="75">
        <f ca="1">IFERROR(IF(AND(MAX($A$114:A244)&gt;A244+1, MAX($A$114:A244)&gt;20),0,IF(AND(D245="",G245=""),0,IF(OR(D245&gt;LimitSignB10, G245&gt;LimitSignB11),A244+1,0))),"")</f>
        <v>51</v>
      </c>
      <c r="B245" s="76">
        <f ca="1">IFERROR(MyTime(INDEX(INDIRECT("input!"&amp;$B$112&amp;":"&amp;$B$112),FirstRowInput+Integration*COUNT($B$114:B244)) )* $B$110,"")</f>
        <v>3300.3980799999999</v>
      </c>
      <c r="C245" s="77">
        <f ca="1">IFERROR(AVERAGE(INDEX(INDIRECT("input!" &amp; $C$112 &amp; ":" &amp; $C$112),FirstRowInput+Integration*COUNT($B$114:B244)):INDEX(INDIRECT("input!" &amp; $C$112 &amp; ":" &amp; $C$112),FirstRowInput+Integration*COUNT($B$114:B244)+Integration-1))*$C$110,"")</f>
        <v>20233.111317833169</v>
      </c>
      <c r="D245" s="77">
        <f ca="1">IFERROR(AVERAGE(INDEX(INDIRECT("input!" &amp; $D$112 &amp; ":" &amp; $D$112),FirstRowInput+Integration*COUNT($B$114:B244)):INDEX(INDIRECT("input!" &amp; $D$112 &amp; ":" &amp; $D$112),FirstRowInput+Integration*COUNT($B$114:B244)+Integration-1))*$D$110,"")</f>
        <v>1481621.5532055288</v>
      </c>
      <c r="E245" s="77">
        <f ca="1">IFERROR(AVERAGE(INDEX(INDIRECT("input!" &amp; $E$112 &amp; ":" &amp; $E$112),FirstRowInput+Integration*COUNT($B$114:B244)):INDEX(INDIRECT("input!" &amp; $E$112 &amp; ":" &amp; $E$112),FirstRowInput+Integration*COUNT($B$114:B244)+Integration-1))*$E$110,"")</f>
        <v>15712.633288444995</v>
      </c>
      <c r="F245" s="77">
        <f ca="1">IFERROR(AVERAGE(INDEX(INDIRECT("input!" &amp; $F$112 &amp; ":" &amp; $F$112),FirstRowInput+Integration*COUNT($B$114:B244)):INDEX(INDIRECT("input!" &amp; $F$112 &amp; ":" &amp; $F$112),FirstRowInput+Integration*COUNT($B$114:B244)+Integration-1))*$F$110,"")</f>
        <v>5207.9329966847163</v>
      </c>
      <c r="G245" s="77">
        <f ca="1">IFERROR(AVERAGE(INDEX(INDIRECT("input!" &amp; $G$112 &amp; ":" &amp; $G$112),FirstRowInput+Integration*COUNT($B$114:B244)):INDEX(INDIRECT("input!" &amp; $G$112 &amp; ":" &amp; $G$112),FirstRowInput+Integration*COUNT($B$114:B244)+Integration-1))*$G$110,"")</f>
        <v>6699912.2660861043</v>
      </c>
      <c r="H245" s="77">
        <f ca="1">IFERROR(AVERAGE(INDEX(INDIRECT("input!" &amp; $H$112 &amp; ":" &amp; $H$112),FirstRowInput+Integration*COUNT($B$114:B244)):INDEX(INDIRECT("input!" &amp; $H$112 &amp; ":" &amp; $H$112),FirstRowInput+Integration*COUNT($B$114:B244)+Integration-1))*$H$110,"")</f>
        <v>7350.901998694987</v>
      </c>
      <c r="I245" s="42">
        <v>133</v>
      </c>
      <c r="J245" s="74" t="str">
        <f t="shared" si="196"/>
        <v/>
      </c>
      <c r="K245" s="183"/>
      <c r="L245" s="394"/>
      <c r="M245" s="394"/>
      <c r="N245" s="394"/>
      <c r="O245" s="394"/>
      <c r="P245" s="394"/>
      <c r="Q245" s="394"/>
      <c r="R245" s="394"/>
      <c r="S245" s="81">
        <f t="shared" ca="1" si="192"/>
        <v>-352.29871111907687</v>
      </c>
      <c r="T245" s="108">
        <f t="shared" ca="1" si="193"/>
        <v>25.016720091392926</v>
      </c>
      <c r="U245" s="108">
        <f t="shared" ca="1" si="194"/>
        <v>-404.98814458156812</v>
      </c>
      <c r="V245" s="108">
        <f t="shared" ca="1" si="195"/>
        <v>-299.60927765658562</v>
      </c>
    </row>
    <row r="246" spans="1:22" s="14" customFormat="1" ht="15" customHeight="1" x14ac:dyDescent="0.15">
      <c r="A246" s="75">
        <f ca="1">IFERROR(IF(AND(MAX($A$114:A245)&gt;A245+1, MAX($A$114:A245)&gt;20),0,IF(AND(D246="",G246=""),0,IF(OR(D246&gt;LimitSignB10, G246&gt;LimitSignB11),A245+1,0))),"")</f>
        <v>52</v>
      </c>
      <c r="B246" s="76">
        <f ca="1">IFERROR(MyTime(INDEX(INDIRECT("input!"&amp;$B$112&amp;":"&amp;$B$112),FirstRowInput+Integration*COUNT($B$114:B245)) )* $B$110,"")</f>
        <v>3300.4661759999999</v>
      </c>
      <c r="C246" s="77">
        <f ca="1">IFERROR(AVERAGE(INDEX(INDIRECT("input!" &amp; $C$112 &amp; ":" &amp; $C$112),FirstRowInput+Integration*COUNT($B$114:B245)):INDEX(INDIRECT("input!" &amp; $C$112 &amp; ":" &amp; $C$112),FirstRowInput+Integration*COUNT($B$114:B245)+Integration-1))*$C$110,"")</f>
        <v>21750.282902801668</v>
      </c>
      <c r="D246" s="77">
        <f ca="1">IFERROR(AVERAGE(INDEX(INDIRECT("input!" &amp; $D$112 &amp; ":" &amp; $D$112),FirstRowInput+Integration*COUNT($B$114:B245)):INDEX(INDIRECT("input!" &amp; $D$112 &amp; ":" &amp; $D$112),FirstRowInput+Integration*COUNT($B$114:B245)+Integration-1))*$D$110,"")</f>
        <v>1476864.7769881701</v>
      </c>
      <c r="E246" s="77">
        <f ca="1">IFERROR(AVERAGE(INDEX(INDIRECT("input!" &amp; $E$112 &amp; ":" &amp; $E$112),FirstRowInput+Integration*COUNT($B$114:B245)):INDEX(INDIRECT("input!" &amp; $E$112 &amp; ":" &amp; $E$112),FirstRowInput+Integration*COUNT($B$114:B245)+Integration-1))*$E$110,"")</f>
        <v>20753.54484258563</v>
      </c>
      <c r="F246" s="77">
        <f ca="1">IFERROR(AVERAGE(INDEX(INDIRECT("input!" &amp; $F$112 &amp; ":" &amp; $F$112),FirstRowInput+Integration*COUNT($B$114:B245)):INDEX(INDIRECT("input!" &amp; $F$112 &amp; ":" &amp; $F$112),FirstRowInput+Integration*COUNT($B$114:B245)+Integration-1))*$F$110,"")</f>
        <v>19575.404992310607</v>
      </c>
      <c r="G246" s="77">
        <f ca="1">IFERROR(AVERAGE(INDEX(INDIRECT("input!" &amp; $G$112 &amp; ":" &amp; $G$112),FirstRowInput+Integration*COUNT($B$114:B245)):INDEX(INDIRECT("input!" &amp; $G$112 &amp; ":" &amp; $G$112),FirstRowInput+Integration*COUNT($B$114:B245)+Integration-1))*$G$110,"")</f>
        <v>6664701.5829727007</v>
      </c>
      <c r="H246" s="77">
        <f ca="1">IFERROR(AVERAGE(INDEX(INDIRECT("input!" &amp; $H$112 &amp; ":" &amp; $H$112),FirstRowInput+Integration*COUNT($B$114:B245)):INDEX(INDIRECT("input!" &amp; $H$112 &amp; ":" &amp; $H$112),FirstRowInput+Integration*COUNT($B$114:B245)+Integration-1))*$H$110,"")</f>
        <v>12675.269916612826</v>
      </c>
      <c r="I246" s="42">
        <v>134</v>
      </c>
      <c r="J246" s="74" t="str">
        <f t="shared" si="196"/>
        <v/>
      </c>
      <c r="K246" s="183"/>
      <c r="L246" s="394"/>
      <c r="M246" s="394"/>
      <c r="N246" s="394"/>
      <c r="O246" s="394"/>
      <c r="P246" s="394"/>
      <c r="Q246" s="394"/>
      <c r="R246" s="394"/>
      <c r="S246" s="81">
        <f t="shared" ca="1" si="192"/>
        <v>1500.4022532423869</v>
      </c>
      <c r="T246" s="108">
        <f t="shared" ca="1" si="193"/>
        <v>2927.9974736958247</v>
      </c>
      <c r="U246" s="108">
        <f t="shared" ca="1" si="194"/>
        <v>-702.22875562089939</v>
      </c>
      <c r="V246" s="108">
        <f t="shared" ca="1" si="195"/>
        <v>3703.0332621056732</v>
      </c>
    </row>
    <row r="247" spans="1:22" s="14" customFormat="1" ht="15" customHeight="1" x14ac:dyDescent="0.15">
      <c r="A247" s="75">
        <f ca="1">IFERROR(IF(AND(MAX($A$114:A246)&gt;A246+1, MAX($A$114:A246)&gt;20),0,IF(AND(D247="",G247=""),0,IF(OR(D247&gt;LimitSignB10, G247&gt;LimitSignB11),A246+1,0))),"")</f>
        <v>53</v>
      </c>
      <c r="B247" s="76">
        <f ca="1">IFERROR(MyTime(INDEX(INDIRECT("input!"&amp;$B$112&amp;":"&amp;$B$112),FirstRowInput+Integration*COUNT($B$114:B246)) )* $B$110,"")</f>
        <v>3300.5342719999999</v>
      </c>
      <c r="C247" s="77">
        <f ca="1">IFERROR(AVERAGE(INDEX(INDIRECT("input!" &amp; $C$112 &amp; ":" &amp; $C$112),FirstRowInput+Integration*COUNT($B$114:B246)):INDEX(INDIRECT("input!" &amp; $C$112 &amp; ":" &amp; $C$112),FirstRowInput+Integration*COUNT($B$114:B246)+Integration-1))*$C$110,"")</f>
        <v>19031.227595024298</v>
      </c>
      <c r="D247" s="77">
        <f ca="1">IFERROR(AVERAGE(INDEX(INDIRECT("input!" &amp; $D$112 &amp; ":" &amp; $D$112),FirstRowInput+Integration*COUNT($B$114:B246)):INDEX(INDIRECT("input!" &amp; $D$112 &amp; ":" &amp; $D$112),FirstRowInput+Integration*COUNT($B$114:B246)+Integration-1))*$D$110,"")</f>
        <v>1479607.7834483027</v>
      </c>
      <c r="E247" s="77">
        <f ca="1">IFERROR(AVERAGE(INDEX(INDIRECT("input!" &amp; $E$112 &amp; ":" &amp; $E$112),FirstRowInput+Integration*COUNT($B$114:B246)):INDEX(INDIRECT("input!" &amp; $E$112 &amp; ":" &amp; $E$112),FirstRowInput+Integration*COUNT($B$114:B246)+Integration-1))*$E$110,"")</f>
        <v>21518.594795653862</v>
      </c>
      <c r="F247" s="77">
        <f ca="1">IFERROR(AVERAGE(INDEX(INDIRECT("input!" &amp; $F$112 &amp; ":" &amp; $F$112),FirstRowInput+Integration*COUNT($B$114:B246)):INDEX(INDIRECT("input!" &amp; $F$112 &amp; ":" &amp; $F$112),FirstRowInput+Integration*COUNT($B$114:B246)+Integration-1))*$F$110,"")</f>
        <v>6175.0924715029496</v>
      </c>
      <c r="G247" s="77">
        <f ca="1">IFERROR(AVERAGE(INDEX(INDIRECT("input!" &amp; $G$112 &amp; ":" &amp; $G$112),FirstRowInput+Integration*COUNT($B$114:B246)):INDEX(INDIRECT("input!" &amp; $G$112 &amp; ":" &amp; $G$112),FirstRowInput+Integration*COUNT($B$114:B246)+Integration-1))*$G$110,"")</f>
        <v>6674956.8811998386</v>
      </c>
      <c r="H247" s="77">
        <f ca="1">IFERROR(AVERAGE(INDEX(INDIRECT("input!" &amp; $H$112 &amp; ":" &amp; $H$112),FirstRowInput+Integration*COUNT($B$114:B246)):INDEX(INDIRECT("input!" &amp; $H$112 &amp; ":" &amp; $H$112),FirstRowInput+Integration*COUNT($B$114:B246)+Integration-1))*$H$110,"")</f>
        <v>12270.728139120984</v>
      </c>
      <c r="I247" s="42">
        <v>135</v>
      </c>
      <c r="J247" s="74" t="str">
        <f t="shared" si="196"/>
        <v/>
      </c>
      <c r="K247" s="183"/>
      <c r="L247" s="394"/>
      <c r="M247" s="394"/>
      <c r="N247" s="394"/>
      <c r="O247" s="394"/>
      <c r="P247" s="394"/>
      <c r="Q247" s="394"/>
      <c r="R247" s="394"/>
      <c r="S247" s="81">
        <f t="shared" ca="1" si="192"/>
        <v>-84.64698573632586</v>
      </c>
      <c r="T247" s="108">
        <f t="shared" ca="1" si="193"/>
        <v>2139.7075497047699</v>
      </c>
      <c r="U247" s="108">
        <f t="shared" ca="1" si="194"/>
        <v>-3361.2510695816081</v>
      </c>
      <c r="V247" s="108">
        <f t="shared" ca="1" si="195"/>
        <v>3191.9570981089564</v>
      </c>
    </row>
    <row r="248" spans="1:22" s="14" customFormat="1" ht="15" customHeight="1" x14ac:dyDescent="0.15">
      <c r="A248" s="75">
        <f ca="1">IFERROR(IF(AND(MAX($A$114:A247)&gt;A247+1, MAX($A$114:A247)&gt;20),0,IF(AND(D248="",G248=""),0,IF(OR(D248&gt;LimitSignB10, G248&gt;LimitSignB11),A247+1,0))),"")</f>
        <v>54</v>
      </c>
      <c r="B248" s="76">
        <f ca="1">IFERROR(MyTime(INDEX(INDIRECT("input!"&amp;$B$112&amp;":"&amp;$B$112),FirstRowInput+Integration*COUNT($B$114:B247)) )* $B$110,"")</f>
        <v>3300.6021120000005</v>
      </c>
      <c r="C248" s="77">
        <f ca="1">IFERROR(AVERAGE(INDEX(INDIRECT("input!" &amp; $C$112 &amp; ":" &amp; $C$112),FirstRowInput+Integration*COUNT($B$114:B247)):INDEX(INDIRECT("input!" &amp; $C$112 &amp; ":" &amp; $C$112),FirstRowInput+Integration*COUNT($B$114:B247)+Integration-1))*$C$110,"")</f>
        <v>18144.306808076468</v>
      </c>
      <c r="D248" s="77">
        <f ca="1">IFERROR(AVERAGE(INDEX(INDIRECT("input!" &amp; $D$112 &amp; ":" &amp; $D$112),FirstRowInput+Integration*COUNT($B$114:B247)):INDEX(INDIRECT("input!" &amp; $D$112 &amp; ":" &amp; $D$112),FirstRowInput+Integration*COUNT($B$114:B247)+Integration-1))*$D$110,"")</f>
        <v>1483104.8688118914</v>
      </c>
      <c r="E248" s="77">
        <f ca="1">IFERROR(AVERAGE(INDEX(INDIRECT("input!" &amp; $E$112 &amp; ":" &amp; $E$112),FirstRowInput+Integration*COUNT($B$114:B247)):INDEX(INDIRECT("input!" &amp; $E$112 &amp; ":" &amp; $E$112),FirstRowInput+Integration*COUNT($B$114:B247)+Integration-1))*$E$110,"")</f>
        <v>19176.964994603521</v>
      </c>
      <c r="F248" s="77">
        <f ca="1">IFERROR(AVERAGE(INDEX(INDIRECT("input!" &amp; $F$112 &amp; ":" &amp; $F$112),FirstRowInput+Integration*COUNT($B$114:B247)):INDEX(INDIRECT("input!" &amp; $F$112 &amp; ":" &amp; $F$112),FirstRowInput+Integration*COUNT($B$114:B247)+Integration-1))*$F$110,"")</f>
        <v>4316.2111635667188</v>
      </c>
      <c r="G248" s="77">
        <f ca="1">IFERROR(AVERAGE(INDEX(INDIRECT("input!" &amp; $G$112 &amp; ":" &amp; $G$112),FirstRowInput+Integration*COUNT($B$114:B247)):INDEX(INDIRECT("input!" &amp; $G$112 &amp; ":" &amp; $G$112),FirstRowInput+Integration*COUNT($B$114:B247)+Integration-1))*$G$110,"")</f>
        <v>6700810.1811379874</v>
      </c>
      <c r="H248" s="77">
        <f ca="1">IFERROR(AVERAGE(INDEX(INDIRECT("input!" &amp; $H$112 &amp; ":" &amp; $H$112),FirstRowInput+Integration*COUNT($B$114:B247)):INDEX(INDIRECT("input!" &amp; $H$112 &amp; ":" &amp; $H$112),FirstRowInput+Integration*COUNT($B$114:B247)+Integration-1))*$H$110,"")</f>
        <v>19358.829617981755</v>
      </c>
      <c r="I248" s="42">
        <v>136</v>
      </c>
      <c r="J248" s="74" t="str">
        <f t="shared" si="196"/>
        <v/>
      </c>
      <c r="K248" s="183"/>
      <c r="L248" s="394"/>
      <c r="M248" s="394"/>
      <c r="N248" s="394"/>
      <c r="O248" s="394"/>
      <c r="P248" s="394"/>
      <c r="Q248" s="394"/>
      <c r="R248" s="394"/>
      <c r="S248" s="81">
        <f t="shared" ca="1" si="192"/>
        <v>-751.1979242480038</v>
      </c>
      <c r="T248" s="108">
        <f t="shared" ca="1" si="193"/>
        <v>1387.0638741842777</v>
      </c>
      <c r="U248" s="108">
        <f t="shared" ca="1" si="194"/>
        <v>-2817.6793192337936</v>
      </c>
      <c r="V248" s="108">
        <f t="shared" ca="1" si="195"/>
        <v>1315.283470737786</v>
      </c>
    </row>
    <row r="249" spans="1:22" s="14" customFormat="1" ht="15" customHeight="1" x14ac:dyDescent="0.15">
      <c r="A249" s="75">
        <f ca="1">IFERROR(IF(AND(MAX($A$114:A248)&gt;A248+1, MAX($A$114:A248)&gt;20),0,IF(AND(D249="",G249=""),0,IF(OR(D249&gt;LimitSignB10, G249&gt;LimitSignB11),A248+1,0))),"")</f>
        <v>55</v>
      </c>
      <c r="B249" s="76">
        <f ca="1">IFERROR(MyTime(INDEX(INDIRECT("input!"&amp;$B$112&amp;":"&amp;$B$112),FirstRowInput+Integration*COUNT($B$114:B248)) )* $B$110,"")</f>
        <v>3300.670208</v>
      </c>
      <c r="C249" s="77">
        <f ca="1">IFERROR(AVERAGE(INDEX(INDIRECT("input!" &amp; $C$112 &amp; ":" &amp; $C$112),FirstRowInput+Integration*COUNT($B$114:B248)):INDEX(INDIRECT("input!" &amp; $C$112 &amp; ":" &amp; $C$112),FirstRowInput+Integration*COUNT($B$114:B248)+Integration-1))*$C$110,"")</f>
        <v>18604.032705768557</v>
      </c>
      <c r="D249" s="77">
        <f ca="1">IFERROR(AVERAGE(INDEX(INDIRECT("input!" &amp; $D$112 &amp; ":" &amp; $D$112),FirstRowInput+Integration*COUNT($B$114:B248)):INDEX(INDIRECT("input!" &amp; $D$112 &amp; ":" &amp; $D$112),FirstRowInput+Integration*COUNT($B$114:B248)+Integration-1))*$D$110,"")</f>
        <v>1478297.7351184723</v>
      </c>
      <c r="E249" s="77">
        <f ca="1">IFERROR(AVERAGE(INDEX(INDIRECT("input!" &amp; $E$112 &amp; ":" &amp; $E$112),FirstRowInput+Integration*COUNT($B$114:B248)):INDEX(INDIRECT("input!" &amp; $E$112 &amp; ":" &amp; $E$112),FirstRowInput+Integration*COUNT($B$114:B248)+Integration-1))*$E$110,"")</f>
        <v>20013.30744461287</v>
      </c>
      <c r="F249" s="77">
        <f ca="1">IFERROR(AVERAGE(INDEX(INDIRECT("input!" &amp; $F$112 &amp; ":" &amp; $F$112),FirstRowInput+Integration*COUNT($B$114:B248)):INDEX(INDIRECT("input!" &amp; $F$112 &amp; ":" &amp; $F$112),FirstRowInput+Integration*COUNT($B$114:B248)+Integration-1))*$F$110,"")</f>
        <v>11598.338050428481</v>
      </c>
      <c r="G249" s="77">
        <f ca="1">IFERROR(AVERAGE(INDEX(INDIRECT("input!" &amp; $G$112 &amp; ":" &amp; $G$112),FirstRowInput+Integration*COUNT($B$114:B248)):INDEX(INDIRECT("input!" &amp; $G$112 &amp; ":" &amp; $G$112),FirstRowInput+Integration*COUNT($B$114:B248)+Integration-1))*$G$110,"")</f>
        <v>6684998.4918022808</v>
      </c>
      <c r="H249" s="77">
        <f ca="1">IFERROR(AVERAGE(INDEX(INDIRECT("input!" &amp; $H$112 &amp; ":" &amp; $H$112),FirstRowInput+Integration*COUNT($B$114:B248)):INDEX(INDIRECT("input!" &amp; $H$112 &amp; ":" &amp; $H$112),FirstRowInput+Integration*COUNT($B$114:B248)+Integration-1))*$H$110,"")</f>
        <v>11142.041424622679</v>
      </c>
      <c r="I249" s="42">
        <v>137</v>
      </c>
      <c r="J249" s="74" t="str">
        <f t="shared" si="196"/>
        <v/>
      </c>
      <c r="K249" s="183"/>
      <c r="L249" s="394"/>
      <c r="M249" s="394"/>
      <c r="N249" s="394"/>
      <c r="O249" s="394"/>
      <c r="P249" s="394"/>
      <c r="Q249" s="394"/>
      <c r="R249" s="394"/>
      <c r="S249" s="81">
        <f t="shared" ca="1" si="192"/>
        <v>-2264.9210677424539</v>
      </c>
      <c r="T249" s="108">
        <f t="shared" ca="1" si="193"/>
        <v>1975.0649992058316</v>
      </c>
      <c r="U249" s="108">
        <f t="shared" ca="1" si="194"/>
        <v>-1335.5997888543807</v>
      </c>
      <c r="V249" s="108">
        <f t="shared" ca="1" si="195"/>
        <v>-3194.2423466305272</v>
      </c>
    </row>
    <row r="250" spans="1:22" s="14" customFormat="1" ht="15" customHeight="1" x14ac:dyDescent="0.15">
      <c r="A250" s="75">
        <f ca="1">IFERROR(IF(AND(MAX($A$114:A249)&gt;A249+1, MAX($A$114:A249)&gt;20),0,IF(AND(D250="",G250=""),0,IF(OR(D250&gt;LimitSignB10, G250&gt;LimitSignB11),A249+1,0))),"")</f>
        <v>56</v>
      </c>
      <c r="B250" s="76">
        <f ca="1">IFERROR(MyTime(INDEX(INDIRECT("input!"&amp;$B$112&amp;":"&amp;$B$112),FirstRowInput+Integration*COUNT($B$114:B249)) )* $B$110,"")</f>
        <v>3300.738304</v>
      </c>
      <c r="C250" s="77">
        <f ca="1">IFERROR(AVERAGE(INDEX(INDIRECT("input!" &amp; $C$112 &amp; ":" &amp; $C$112),FirstRowInput+Integration*COUNT($B$114:B249)):INDEX(INDIRECT("input!" &amp; $C$112 &amp; ":" &amp; $C$112),FirstRowInput+Integration*COUNT($B$114:B249)+Integration-1))*$C$110,"")</f>
        <v>20458.338447349543</v>
      </c>
      <c r="D250" s="77">
        <f ca="1">IFERROR(AVERAGE(INDEX(INDIRECT("input!" &amp; $D$112 &amp; ":" &amp; $D$112),FirstRowInput+Integration*COUNT($B$114:B249)):INDEX(INDIRECT("input!" &amp; $D$112 &amp; ":" &amp; $D$112),FirstRowInput+Integration*COUNT($B$114:B249)+Integration-1))*$D$110,"")</f>
        <v>1480083.5404072662</v>
      </c>
      <c r="E250" s="77">
        <f ca="1">IFERROR(AVERAGE(INDEX(INDIRECT("input!" &amp; $E$112 &amp; ":" &amp; $E$112),FirstRowInput+Integration*COUNT($B$114:B249)):INDEX(INDIRECT("input!" &amp; $E$112 &amp; ":" &amp; $E$112),FirstRowInput+Integration*COUNT($B$114:B249)+Integration-1))*$E$110,"")</f>
        <v>20352.967244646628</v>
      </c>
      <c r="F250" s="77">
        <f ca="1">IFERROR(AVERAGE(INDEX(INDIRECT("input!" &amp; $F$112 &amp; ":" &amp; $F$112),FirstRowInput+Integration*COUNT($B$114:B249)):INDEX(INDIRECT("input!" &amp; $F$112 &amp; ":" &amp; $F$112),FirstRowInput+Integration*COUNT($B$114:B249)+Integration-1))*$F$110,"")</f>
        <v>7805.8077225463921</v>
      </c>
      <c r="G250" s="77">
        <f ca="1">IFERROR(AVERAGE(INDEX(INDIRECT("input!" &amp; $G$112 &amp; ":" &amp; $G$112),FirstRowInput+Integration*COUNT($B$114:B249)):INDEX(INDIRECT("input!" &amp; $G$112 &amp; ":" &amp; $G$112),FirstRowInput+Integration*COUNT($B$114:B249)+Integration-1))*$G$110,"")</f>
        <v>6674098.9561258275</v>
      </c>
      <c r="H250" s="77">
        <f ca="1">IFERROR(AVERAGE(INDEX(INDIRECT("input!" &amp; $H$112 &amp; ":" &amp; $H$112),FirstRowInput+Integration*COUNT($B$114:B249)):INDEX(INDIRECT("input!" &amp; $H$112 &amp; ":" &amp; $H$112),FirstRowInput+Integration*COUNT($B$114:B249)+Integration-1))*$H$110,"")</f>
        <v>6640.7072570074706</v>
      </c>
      <c r="I250" s="42">
        <v>138</v>
      </c>
      <c r="J250" s="74" t="str">
        <f t="shared" si="196"/>
        <v/>
      </c>
      <c r="K250" s="183"/>
      <c r="L250" s="394"/>
      <c r="M250" s="394"/>
      <c r="N250" s="394"/>
      <c r="O250" s="394"/>
      <c r="P250" s="394"/>
      <c r="Q250" s="394"/>
      <c r="R250" s="394"/>
      <c r="S250" s="81">
        <f t="shared" ca="1" si="192"/>
        <v>-1868.1232757813996</v>
      </c>
      <c r="T250" s="108">
        <f t="shared" ref="T250:T295" ca="1" si="197">AVERAGE(E250:E251)-$O$309</f>
        <v>247.49766198590805</v>
      </c>
      <c r="U250" s="108">
        <f t="shared" ref="U250:U295" ca="1" si="198">AVERAGE(F250:F252)-$Q$309</f>
        <v>-375.12451720805802</v>
      </c>
      <c r="V250" s="108">
        <f t="shared" ref="V250:V295" ca="1" si="199">AVERAGE(H250:H252)-$R$309</f>
        <v>-3361.1220343547411</v>
      </c>
    </row>
    <row r="251" spans="1:22" s="14" customFormat="1" ht="15" customHeight="1" x14ac:dyDescent="0.15">
      <c r="A251" s="75">
        <f ca="1">IFERROR(IF(AND(MAX($A$114:A250)&gt;A250+1, MAX($A$114:A250)&gt;20),0,IF(AND(D251="",G251=""),0,IF(OR(D251&gt;LimitSignB10, G251&gt;LimitSignB11),A250+1,0))),"")</f>
        <v>57</v>
      </c>
      <c r="B251" s="76">
        <f ca="1">IFERROR(MyTime(INDEX(INDIRECT("input!"&amp;$B$112&amp;":"&amp;$B$112),FirstRowInput+Integration*COUNT($B$114:B250)) )* $B$110,"")</f>
        <v>3300.8063999999999</v>
      </c>
      <c r="C251" s="77">
        <f ca="1">IFERROR(AVERAGE(INDEX(INDIRECT("input!" &amp; $C$112 &amp; ":" &amp; $C$112),FirstRowInput+Integration*COUNT($B$114:B250)):INDEX(INDIRECT("input!" &amp; $C$112 &amp; ":" &amp; $C$112),FirstRowInput+Integration*COUNT($B$114:B250)+Integration-1))*$C$110,"")</f>
        <v>21253.709323365856</v>
      </c>
      <c r="D251" s="77">
        <f ca="1">IFERROR(AVERAGE(INDEX(INDIRECT("input!" &amp; $D$112 &amp; ":" &amp; $D$112),FirstRowInput+Integration*COUNT($B$114:B250)):INDEX(INDIRECT("input!" &amp; $D$112 &amp; ":" &amp; $D$112),FirstRowInput+Integration*COUNT($B$114:B250)+Integration-1))*$D$110,"")</f>
        <v>1486278.0090911626</v>
      </c>
      <c r="E251" s="77">
        <f ca="1">IFERROR(AVERAGE(INDEX(INDIRECT("input!" &amp; $E$112 &amp; ":" &amp; $E$112),FirstRowInput+Integration*COUNT($B$114:B250)):INDEX(INDIRECT("input!" &amp; $E$112 &amp; ":" &amp; $E$112),FirstRowInput+Integration*COUNT($B$114:B250)+Integration-1))*$E$110,"")</f>
        <v>16558.172770173027</v>
      </c>
      <c r="F251" s="77">
        <f ca="1">IFERROR(AVERAGE(INDEX(INDIRECT("input!" &amp; $F$112 &amp; ":" &amp; $F$112),FirstRowInput+Integration*COUNT($B$114:B250)):INDEX(INDIRECT("input!" &amp; $F$112 &amp; ":" &amp; $F$112),FirstRowInput+Integration*COUNT($B$114:B250)+Integration-1))*$F$110,"")</f>
        <v>8762.4497547049632</v>
      </c>
      <c r="G251" s="77">
        <f ca="1">IFERROR(AVERAGE(INDEX(INDIRECT("input!" &amp; $G$112 &amp; ":" &amp; $G$112),FirstRowInput+Integration*COUNT($B$114:B250)):INDEX(INDIRECT("input!" &amp; $G$112 &amp; ":" &amp; $G$112),FirstRowInput+Integration*COUNT($B$114:B250)+Integration-1))*$G$110,"")</f>
        <v>6722500.2205930613</v>
      </c>
      <c r="H251" s="77">
        <f ca="1">IFERROR(AVERAGE(INDEX(INDIRECT("input!" &amp; $H$112 &amp; ":" &amp; $H$112),FirstRowInput+Integration*COUNT($B$114:B250)):INDEX(INDIRECT("input!" &amp; $H$112 &amp; ":" &amp; $H$112),FirstRowInput+Integration*COUNT($B$114:B250)+Integration-1))*$H$110,"")</f>
        <v>5830.2521658768192</v>
      </c>
      <c r="I251" s="42">
        <v>139</v>
      </c>
      <c r="J251" s="74" t="str">
        <f t="shared" si="196"/>
        <v/>
      </c>
      <c r="K251" s="183"/>
      <c r="L251" s="394"/>
      <c r="M251" s="394"/>
      <c r="N251" s="394"/>
      <c r="O251" s="394"/>
      <c r="P251" s="394"/>
      <c r="Q251" s="394"/>
      <c r="R251" s="394"/>
      <c r="S251" s="81">
        <f t="shared" ca="1" si="192"/>
        <v>-2650.9939167663119</v>
      </c>
      <c r="T251" s="108">
        <f t="shared" ca="1" si="197"/>
        <v>-681.79981551017772</v>
      </c>
      <c r="U251" s="108">
        <f t="shared" ca="1" si="198"/>
        <v>-1597.3130208010352</v>
      </c>
      <c r="V251" s="108">
        <f t="shared" ca="1" si="199"/>
        <v>-3704.6748127315886</v>
      </c>
    </row>
    <row r="252" spans="1:22" s="14" customFormat="1" ht="15" customHeight="1" x14ac:dyDescent="0.15">
      <c r="A252" s="75">
        <f ca="1">IFERROR(IF(AND(MAX($A$114:A251)&gt;A251+1, MAX($A$114:A251)&gt;20),0,IF(AND(D252="",G252=""),0,IF(OR(D252&gt;LimitSignB10, G252&gt;LimitSignB11),A251+1,0))),"")</f>
        <v>58</v>
      </c>
      <c r="B252" s="76">
        <f ca="1">IFERROR(MyTime(INDEX(INDIRECT("input!"&amp;$B$112&amp;":"&amp;$B$112),FirstRowInput+Integration*COUNT($B$114:B251)) )* $B$110,"")</f>
        <v>3300.8744959999999</v>
      </c>
      <c r="C252" s="77">
        <f ca="1">IFERROR(AVERAGE(INDEX(INDIRECT("input!" &amp; $C$112 &amp; ":" &amp; $C$112),FirstRowInput+Integration*COUNT($B$114:B251)):INDEX(INDIRECT("input!" &amp; $C$112 &amp; ":" &amp; $C$112),FirstRowInput+Integration*COUNT($B$114:B251)+Integration-1))*$C$110,"")</f>
        <v>22617.742420999126</v>
      </c>
      <c r="D252" s="77">
        <f ca="1">IFERROR(AVERAGE(INDEX(INDIRECT("input!" &amp; $D$112 &amp; ":" &amp; $D$112),FirstRowInput+Integration*COUNT($B$114:B251)):INDEX(INDIRECT("input!" &amp; $D$112 &amp; ":" &amp; $D$112),FirstRowInput+Integration*COUNT($B$114:B251)+Integration-1))*$D$110,"")</f>
        <v>1490095.2469536932</v>
      </c>
      <c r="E252" s="77">
        <f ca="1">IFERROR(AVERAGE(INDEX(INDIRECT("input!" &amp; $E$112 &amp; ":" &amp; $E$112),FirstRowInput+Integration*COUNT($B$114:B251)):INDEX(INDIRECT("input!" &amp; $E$112 &amp; ":" &amp; $E$112),FirstRowInput+Integration*COUNT($B$114:B251)+Integration-1))*$E$110,"")</f>
        <v>18494.372289654457</v>
      </c>
      <c r="F252" s="77">
        <f ca="1">IFERROR(AVERAGE(INDEX(INDIRECT("input!" &amp; $F$112 &amp; ":" &amp; $F$112),FirstRowInput+Integration*COUNT($B$114:B251)):INDEX(INDIRECT("input!" &amp; $F$112 &amp; ":" &amp; $F$112),FirstRowInput+Integration*COUNT($B$114:B251)+Integration-1))*$F$110,"")</f>
        <v>14479.763865367444</v>
      </c>
      <c r="G252" s="77">
        <f ca="1">IFERROR(AVERAGE(INDEX(INDIRECT("input!" &amp; $G$112 &amp; ":" &amp; $G$112),FirstRowInput+Integration*COUNT($B$114:B251)):INDEX(INDIRECT("input!" &amp; $G$112 &amp; ":" &amp; $G$112),FirstRowInput+Integration*COUNT($B$114:B251)+Integration-1))*$G$110,"")</f>
        <v>6735898.108735661</v>
      </c>
      <c r="H252" s="77">
        <f ca="1">IFERROR(AVERAGE(INDEX(INDIRECT("input!" &amp; $H$112 &amp; ":" &amp; $H$112),FirstRowInput+Integration*COUNT($B$114:B251)):INDEX(INDIRECT("input!" &amp; $H$112 &amp; ":" &amp; $H$112),FirstRowInput+Integration*COUNT($B$114:B251)+Integration-1))*$H$110,"")</f>
        <v>10641.402361450037</v>
      </c>
      <c r="I252" s="42">
        <v>140</v>
      </c>
      <c r="J252" s="74" t="str">
        <f t="shared" si="196"/>
        <v/>
      </c>
      <c r="K252" s="183"/>
      <c r="L252" s="394"/>
      <c r="M252" s="394"/>
      <c r="N252" s="394"/>
      <c r="O252" s="394"/>
      <c r="P252" s="394"/>
      <c r="Q252" s="394"/>
      <c r="R252" s="394"/>
      <c r="S252" s="81">
        <f t="shared" ref="S252:S295" ca="1" si="200">AVERAGE(U252:V252)</f>
        <v>-227.087526107739</v>
      </c>
      <c r="T252" s="108">
        <f t="shared" ca="1" si="197"/>
        <v>1026.8342985202326</v>
      </c>
      <c r="U252" s="108">
        <f t="shared" ca="1" si="198"/>
        <v>409.18005136873217</v>
      </c>
      <c r="V252" s="108">
        <f t="shared" ca="1" si="199"/>
        <v>-863.35510358421016</v>
      </c>
    </row>
    <row r="253" spans="1:22" s="14" customFormat="1" ht="15" customHeight="1" x14ac:dyDescent="0.15">
      <c r="A253" s="75">
        <f ca="1">IFERROR(IF(AND(MAX($A$114:A252)&gt;A252+1, MAX($A$114:A252)&gt;20),0,IF(AND(D253="",G253=""),0,IF(OR(D253&gt;LimitSignB10, G253&gt;LimitSignB11),A252+1,0))),"")</f>
        <v>59</v>
      </c>
      <c r="B253" s="76">
        <f ca="1">IFERROR(MyTime(INDEX(INDIRECT("input!"&amp;$B$112&amp;":"&amp;$B$112),FirstRowInput+Integration*COUNT($B$114:B252)) )* $B$110,"")</f>
        <v>3300.9423360000001</v>
      </c>
      <c r="C253" s="77">
        <f ca="1">IFERROR(AVERAGE(INDEX(INDIRECT("input!" &amp; $C$112 &amp; ":" &amp; $C$112),FirstRowInput+Integration*COUNT($B$114:B252)):INDEX(INDIRECT("input!" &amp; $C$112 &amp; ":" &amp; $C$112),FirstRowInput+Integration*COUNT($B$114:B252)+Integration-1))*$C$110,"")</f>
        <v>20087.216048832877</v>
      </c>
      <c r="D253" s="77">
        <f ca="1">IFERROR(AVERAGE(INDEX(INDIRECT("input!" &amp; $D$112 &amp; ":" &amp; $D$112),FirstRowInput+Integration*COUNT($B$114:B252)):INDEX(INDIRECT("input!" &amp; $D$112 &amp; ":" &amp; $D$112),FirstRowInput+Integration*COUNT($B$114:B252)+Integration-1))*$D$110,"")</f>
        <v>1495026.3063880622</v>
      </c>
      <c r="E253" s="77">
        <f ca="1">IFERROR(AVERAGE(INDEX(INDIRECT("input!" &amp; $E$112 &amp; ":" &amp; $E$112),FirstRowInput+Integration*COUNT($B$114:B252)):INDEX(INDIRECT("input!" &amp; $E$112 &amp; ":" &amp; $E$112),FirstRowInput+Integration*COUNT($B$114:B252)+Integration-1))*$E$110,"")</f>
        <v>19975.440998233844</v>
      </c>
      <c r="F253" s="77">
        <f ca="1">IFERROR(AVERAGE(INDEX(INDIRECT("input!" &amp; $F$112 &amp; ":" &amp; $F$112),FirstRowInput+Integration*COUNT($B$114:B252)):INDEX(INDIRECT("input!" &amp; $F$112 &amp; ":" &amp; $F$112),FirstRowInput+Integration*COUNT($B$114:B252)+Integration-1))*$F$110,"")</f>
        <v>4139.242211767466</v>
      </c>
      <c r="G253" s="77">
        <f ca="1">IFERROR(AVERAGE(INDEX(INDIRECT("input!" &amp; $G$112 &amp; ":" &amp; $G$112),FirstRowInput+Integration*COUNT($B$114:B252)):INDEX(INDIRECT("input!" &amp; $G$112 &amp; ":" &amp; $G$112),FirstRowInput+Integration*COUNT($B$114:B252)+Integration-1))*$G$110,"")</f>
        <v>6749831.7038815729</v>
      </c>
      <c r="H253" s="77">
        <f ca="1">IFERROR(AVERAGE(INDEX(INDIRECT("input!" &amp; $H$112 &amp; ":" &amp; $H$112),FirstRowInput+Integration*COUNT($B$114:B252)):INDEX(INDIRECT("input!" &amp; $H$112 &amp; ":" &amp; $H$112),FirstRowInput+Integration*COUNT($B$114:B252)+Integration-1))*$H$110,"")</f>
        <v>5610.048921876928</v>
      </c>
      <c r="I253" s="42">
        <v>141</v>
      </c>
      <c r="J253" s="74" t="str">
        <f t="shared" si="196"/>
        <v/>
      </c>
      <c r="K253" s="183"/>
      <c r="L253" s="394"/>
      <c r="M253" s="394"/>
      <c r="N253" s="394"/>
      <c r="O253" s="394"/>
      <c r="P253" s="394"/>
      <c r="Q253" s="394"/>
      <c r="R253" s="394"/>
      <c r="S253" s="81">
        <f t="shared" ca="1" si="200"/>
        <v>-528.92332756472479</v>
      </c>
      <c r="T253" s="108">
        <f t="shared" ca="1" si="197"/>
        <v>729.44148561624024</v>
      </c>
      <c r="U253" s="108">
        <f t="shared" ca="1" si="198"/>
        <v>-1407.7627502902269</v>
      </c>
      <c r="V253" s="108">
        <f t="shared" ca="1" si="199"/>
        <v>349.91609516077733</v>
      </c>
    </row>
    <row r="254" spans="1:22" s="14" customFormat="1" ht="15" customHeight="1" x14ac:dyDescent="0.15">
      <c r="A254" s="75">
        <f ca="1">IFERROR(IF(AND(MAX($A$114:A253)&gt;A253+1, MAX($A$114:A253)&gt;20),0,IF(AND(D254="",G254=""),0,IF(OR(D254&gt;LimitSignB10, G254&gt;LimitSignB11),A253+1,0))),"")</f>
        <v>60</v>
      </c>
      <c r="B254" s="76">
        <f ca="1">IFERROR(MyTime(INDEX(INDIRECT("input!"&amp;$B$112&amp;":"&amp;$B$112),FirstRowInput+Integration*COUNT($B$114:B253)) )* $B$110,"")</f>
        <v>3301.010432</v>
      </c>
      <c r="C254" s="77">
        <f ca="1">IFERROR(AVERAGE(INDEX(INDIRECT("input!" &amp; $C$112 &amp; ":" &amp; $C$112),FirstRowInput+Integration*COUNT($B$114:B253)):INDEX(INDIRECT("input!" &amp; $C$112 &amp; ":" &amp; $C$112),FirstRowInput+Integration*COUNT($B$114:B253)+Integration-1))*$C$110,"")</f>
        <v>20690.222640373104</v>
      </c>
      <c r="D254" s="77">
        <f ca="1">IFERROR(AVERAGE(INDEX(INDIRECT("input!" &amp; $D$112 &amp; ":" &amp; $D$112),FirstRowInput+Integration*COUNT($B$114:B253)):INDEX(INDIRECT("input!" &amp; $D$112 &amp; ":" &amp; $D$112),FirstRowInput+Integration*COUNT($B$114:B253)+Integration-1))*$D$110,"")</f>
        <v>1485981.7011081744</v>
      </c>
      <c r="E254" s="77">
        <f ca="1">IFERROR(AVERAGE(INDEX(INDIRECT("input!" &amp; $E$112 &amp; ":" &amp; $E$112),FirstRowInput+Integration*COUNT($B$114:B253)):INDEX(INDIRECT("input!" &amp; $E$112 &amp; ":" &amp; $E$112),FirstRowInput+Integration*COUNT($B$114:B253)+Integration-1))*$E$110,"")</f>
        <v>17899.586663846472</v>
      </c>
      <c r="F254" s="77">
        <f ca="1">IFERROR(AVERAGE(INDEX(INDIRECT("input!" &amp; $F$112 &amp; ":" &amp; $F$112),FirstRowInput+Integration*COUNT($B$114:B253)):INDEX(INDIRECT("input!" &amp; $F$112 &amp; ":" &amp; $F$112),FirstRowInput+Integration*COUNT($B$114:B253)+Integration-1))*$F$110,"")</f>
        <v>14781.928971214267</v>
      </c>
      <c r="G254" s="77">
        <f ca="1">IFERROR(AVERAGE(INDEX(INDIRECT("input!" &amp; $G$112 &amp; ":" &amp; $G$112),FirstRowInput+Integration*COUNT($B$114:B253)):INDEX(INDIRECT("input!" &amp; $G$112 &amp; ":" &amp; $G$112),FirstRowInput+Integration*COUNT($B$114:B253)+Integration-1))*$G$110,"")</f>
        <v>6748578.1141825486</v>
      </c>
      <c r="H254" s="77">
        <f ca="1">IFERROR(AVERAGE(INDEX(INDIRECT("input!" &amp; $H$112 &amp; ":" &amp; $H$112),FirstRowInput+Integration*COUNT($B$114:B253)):INDEX(INDIRECT("input!" &amp; $H$112 &amp; ":" &amp; $H$112),FirstRowInput+Integration*COUNT($B$114:B253)+Integration-1))*$H$110,"")</f>
        <v>14354.211293318956</v>
      </c>
      <c r="I254" s="42">
        <v>142</v>
      </c>
      <c r="J254" s="74" t="str">
        <f t="shared" si="196"/>
        <v/>
      </c>
      <c r="K254" s="183"/>
      <c r="L254" s="394"/>
      <c r="M254" s="394"/>
      <c r="N254" s="394"/>
      <c r="O254" s="394"/>
      <c r="P254" s="394"/>
      <c r="Q254" s="394"/>
      <c r="R254" s="394"/>
      <c r="S254" s="81">
        <f t="shared" ca="1" si="200"/>
        <v>2160.9925892781903</v>
      </c>
      <c r="T254" s="108">
        <f t="shared" ca="1" si="197"/>
        <v>-462.17132191806377</v>
      </c>
      <c r="U254" s="108">
        <f t="shared" ca="1" si="198"/>
        <v>3952.7632351897955</v>
      </c>
      <c r="V254" s="108">
        <f t="shared" ca="1" si="199"/>
        <v>369.22194336658504</v>
      </c>
    </row>
    <row r="255" spans="1:22" s="14" customFormat="1" ht="15" customHeight="1" x14ac:dyDescent="0.15">
      <c r="A255" s="75">
        <f ca="1">IFERROR(IF(AND(MAX($A$114:A254)&gt;A254+1, MAX($A$114:A254)&gt;20),0,IF(AND(D255="",G255=""),0,IF(OR(D255&gt;LimitSignB10, G255&gt;LimitSignB11),A254+1,0))),"")</f>
        <v>61</v>
      </c>
      <c r="B255" s="76">
        <f ca="1">IFERROR(MyTime(INDEX(INDIRECT("input!"&amp;$B$112&amp;":"&amp;$B$112),FirstRowInput+Integration*COUNT($B$114:B254)) )* $B$110,"")</f>
        <v>3301.078528</v>
      </c>
      <c r="C255" s="77">
        <f ca="1">IFERROR(AVERAGE(INDEX(INDIRECT("input!" &amp; $C$112 &amp; ":" &amp; $C$112),FirstRowInput+Integration*COUNT($B$114:B254)):INDEX(INDIRECT("input!" &amp; $C$112 &amp; ":" &amp; $C$112),FirstRowInput+Integration*COUNT($B$114:B254)+Integration-1))*$C$110,"")</f>
        <v>21276.373850737698</v>
      </c>
      <c r="D255" s="77">
        <f ca="1">IFERROR(AVERAGE(INDEX(INDIRECT("input!" &amp; $D$112 &amp; ":" &amp; $D$112),FirstRowInput+Integration*COUNT($B$114:B254)):INDEX(INDIRECT("input!" &amp; $D$112 &amp; ":" &amp; $D$112),FirstRowInput+Integration*COUNT($B$114:B254)+Integration-1))*$D$110,"")</f>
        <v>1470229.5962147289</v>
      </c>
      <c r="E255" s="77">
        <f ca="1">IFERROR(AVERAGE(INDEX(INDIRECT("input!" &amp; $E$112 &amp; ":" &amp; $E$112),FirstRowInput+Integration*COUNT($B$114:B254)):INDEX(INDIRECT("input!" &amp; $E$112 &amp; ":" &amp; $E$112),FirstRowInput+Integration*COUNT($B$114:B254)+Integration-1))*$E$110,"")</f>
        <v>17592.215383165239</v>
      </c>
      <c r="F255" s="77">
        <f ca="1">IFERROR(AVERAGE(INDEX(INDIRECT("input!" &amp; $F$112 &amp; ":" &amp; $F$112),FirstRowInput+Integration*COUNT($B$114:B254)):INDEX(INDIRECT("input!" &amp; $F$112 &amp; ":" &amp; $F$112),FirstRowInput+Integration*COUNT($B$114:B254)+Integration-1))*$F$110,"")</f>
        <v>9028.9354603905613</v>
      </c>
      <c r="G255" s="77">
        <f ca="1">IFERROR(AVERAGE(INDEX(INDIRECT("input!" &amp; $G$112 &amp; ":" &amp; $G$112),FirstRowInput+Integration*COUNT($B$114:B254)):INDEX(INDIRECT("input!" &amp; $G$112 &amp; ":" &amp; $G$112),FirstRowInput+Integration*COUNT($B$114:B254)+Integration-1))*$G$110,"")</f>
        <v>6666404.388589358</v>
      </c>
      <c r="H255" s="77">
        <f ca="1">IFERROR(AVERAGE(INDEX(INDIRECT("input!" &amp; $H$112 &amp; ":" &amp; $H$112),FirstRowInput+Integration*COUNT($B$114:B254)):INDEX(INDIRECT("input!" &amp; $H$112 &amp; ":" &amp; $H$112),FirstRowInput+Integration*COUNT($B$114:B254)+Integration-1))*$H$110,"")</f>
        <v>14281.215957684999</v>
      </c>
      <c r="I255" s="42">
        <v>143</v>
      </c>
      <c r="J255" s="74" t="str">
        <f t="shared" si="196"/>
        <v/>
      </c>
      <c r="K255" s="183"/>
      <c r="L255" s="394"/>
      <c r="M255" s="394"/>
      <c r="N255" s="394"/>
      <c r="O255" s="394"/>
      <c r="P255" s="394"/>
      <c r="Q255" s="394"/>
      <c r="R255" s="394"/>
      <c r="S255" s="81">
        <f t="shared" ca="1" si="200"/>
        <v>-1423.1166602941785</v>
      </c>
      <c r="T255" s="108">
        <f t="shared" ca="1" si="197"/>
        <v>-1530.8242492605132</v>
      </c>
      <c r="U255" s="108">
        <f t="shared" ca="1" si="198"/>
        <v>2303.3357872801607</v>
      </c>
      <c r="V255" s="108">
        <f t="shared" ca="1" si="199"/>
        <v>-5149.5691078685177</v>
      </c>
    </row>
    <row r="256" spans="1:22" s="14" customFormat="1" ht="15" customHeight="1" x14ac:dyDescent="0.15">
      <c r="A256" s="75">
        <f ca="1">IFERROR(IF(AND(MAX($A$114:A255)&gt;A255+1, MAX($A$114:A255)&gt;20),0,IF(AND(D256="",G256=""),0,IF(OR(D256&gt;LimitSignB10, G256&gt;LimitSignB11),A255+1,0))),"")</f>
        <v>62</v>
      </c>
      <c r="B256" s="76">
        <f ca="1">IFERROR(MyTime(INDEX(INDIRECT("input!"&amp;$B$112&amp;":"&amp;$B$112),FirstRowInput+Integration*COUNT($B$114:B255)) )* $B$110,"")</f>
        <v>3301.1468799999998</v>
      </c>
      <c r="C256" s="77">
        <f ca="1">IFERROR(AVERAGE(INDEX(INDIRECT("input!" &amp; $C$112 &amp; ":" &amp; $C$112),FirstRowInput+Integration*COUNT($B$114:B255)):INDEX(INDIRECT("input!" &amp; $C$112 &amp; ":" &amp; $C$112),FirstRowInput+Integration*COUNT($B$114:B255)+Integration-1))*$C$110,"")</f>
        <v>23673.461449977141</v>
      </c>
      <c r="D256" s="77">
        <f ca="1">IFERROR(AVERAGE(INDEX(INDIRECT("input!" &amp; $D$112 &amp; ":" &amp; $D$112),FirstRowInput+Integration*COUNT($B$114:B255)):INDEX(INDIRECT("input!" &amp; $D$112 &amp; ":" &amp; $D$112),FirstRowInput+Integration*COUNT($B$114:B255)+Integration-1))*$D$110,"")</f>
        <v>1456611.4247206955</v>
      </c>
      <c r="E256" s="77">
        <f ca="1">IFERROR(AVERAGE(INDEX(INDIRECT("input!" &amp; $E$112 &amp; ":" &amp; $E$112),FirstRowInput+Integration*COUNT($B$114:B255)):INDEX(INDIRECT("input!" &amp; $E$112 &amp; ":" &amp; $E$112),FirstRowInput+Integration*COUNT($B$114:B255)+Integration-1))*$E$110,"")</f>
        <v>15762.280809161577</v>
      </c>
      <c r="F256" s="77">
        <f ca="1">IFERROR(AVERAGE(INDEX(INDIRECT("input!" &amp; $F$112 &amp; ":" &amp; $F$112),FirstRowInput+Integration*COUNT($B$114:B255)):INDEX(INDIRECT("input!" &amp; $F$112 &amp; ":" &amp; $F$112),FirstRowInput+Integration*COUNT($B$114:B255)+Integration-1))*$F$110,"")</f>
        <v>20220.820168207527</v>
      </c>
      <c r="G256" s="77">
        <f ca="1">IFERROR(AVERAGE(INDEX(INDIRECT("input!" &amp; $G$112 &amp; ":" &amp; $G$112),FirstRowInput+Integration*COUNT($B$114:B255)):INDEX(INDIRECT("input!" &amp; $G$112 &amp; ":" &amp; $G$112),FirstRowInput+Integration*COUNT($B$114:B255)+Integration-1))*$G$110,"")</f>
        <v>6590879.0674944678</v>
      </c>
      <c r="H256" s="77">
        <f ca="1">IFERROR(AVERAGE(INDEX(INDIRECT("input!" &amp; $H$112 &amp; ":" &amp; $H$112),FirstRowInput+Integration*COUNT($B$114:B255)):INDEX(INDIRECT("input!" &amp; $H$112 &amp; ":" &amp; $H$112),FirstRowInput+Integration*COUNT($B$114:B255)+Integration-1))*$H$110,"")</f>
        <v>5667.966466494353</v>
      </c>
      <c r="I256" s="42">
        <v>144</v>
      </c>
      <c r="J256" s="74" t="str">
        <f t="shared" si="196"/>
        <v/>
      </c>
      <c r="K256" s="183"/>
      <c r="L256" s="394"/>
      <c r="M256" s="394"/>
      <c r="N256" s="394"/>
      <c r="O256" s="394"/>
      <c r="P256" s="394"/>
      <c r="Q256" s="394"/>
      <c r="R256" s="394"/>
      <c r="S256" s="81">
        <f t="shared" ca="1" si="200"/>
        <v>-1426.9174052309263</v>
      </c>
      <c r="T256" s="108">
        <f t="shared" ca="1" si="197"/>
        <v>-1014.8186957107609</v>
      </c>
      <c r="U256" s="108">
        <f t="shared" ca="1" si="198"/>
        <v>3089.2033763276249</v>
      </c>
      <c r="V256" s="108">
        <f t="shared" ca="1" si="199"/>
        <v>-5943.0381867894775</v>
      </c>
    </row>
    <row r="257" spans="1:22" s="14" customFormat="1" ht="15" customHeight="1" x14ac:dyDescent="0.15">
      <c r="A257" s="75">
        <f ca="1">IFERROR(IF(AND(MAX($A$114:A256)&gt;A256+1, MAX($A$114:A256)&gt;20),0,IF(AND(D257="",G257=""),0,IF(OR(D257&gt;LimitSignB10, G257&gt;LimitSignB11),A256+1,0))),"")</f>
        <v>63</v>
      </c>
      <c r="B257" s="76">
        <f ca="1">IFERROR(MyTime(INDEX(INDIRECT("input!"&amp;$B$112&amp;":"&amp;$B$112),FirstRowInput+Integration*COUNT($B$114:B256)) )* $B$110,"")</f>
        <v>3301.2149759999998</v>
      </c>
      <c r="C257" s="77">
        <f ca="1">IFERROR(AVERAGE(INDEX(INDIRECT("input!" &amp; $C$112 &amp; ":" &amp; $C$112),FirstRowInput+Integration*COUNT($B$114:B256)):INDEX(INDIRECT("input!" &amp; $C$112 &amp; ":" &amp; $C$112),FirstRowInput+Integration*COUNT($B$114:B256)+Integration-1))*$C$110,"")</f>
        <v>19439.04850279311</v>
      </c>
      <c r="D257" s="77">
        <f ca="1">IFERROR(AVERAGE(INDEX(INDIRECT("input!" &amp; $D$112 &amp; ":" &amp; $D$112),FirstRowInput+Integration*COUNT($B$114:B256)):INDEX(INDIRECT("input!" &amp; $D$112 &amp; ":" &amp; $D$112),FirstRowInput+Integration*COUNT($B$114:B256)+Integration-1))*$D$110,"")</f>
        <v>1461298.6223108834</v>
      </c>
      <c r="E257" s="77">
        <f ca="1">IFERROR(AVERAGE(INDEX(INDIRECT("input!" &amp; $E$112 &amp; ":" &amp; $E$112),FirstRowInput+Integration*COUNT($B$114:B256)):INDEX(INDIRECT("input!" &amp; $E$112 &amp; ":" &amp; $E$112),FirstRowInput+Integration*COUNT($B$114:B256)+Integration-1))*$E$110,"")</f>
        <v>18624.22649026474</v>
      </c>
      <c r="F257" s="77">
        <f ca="1">IFERROR(AVERAGE(INDEX(INDIRECT("input!" &amp; $F$112 &amp; ":" &amp; $F$112),FirstRowInput+Integration*COUNT($B$114:B256)):INDEX(INDIRECT("input!" &amp; $F$112 &amp; ":" &amp; $F$112),FirstRowInput+Integration*COUNT($B$114:B256)+Integration-1))*$F$110,"")</f>
        <v>9833.6466274853665</v>
      </c>
      <c r="G257" s="77">
        <f ca="1">IFERROR(AVERAGE(INDEX(INDIRECT("input!" &amp; $G$112 &amp; ":" &amp; $G$112),FirstRowInput+Integration*COUNT($B$114:B256)):INDEX(INDIRECT("input!" &amp; $G$112 &amp; ":" &amp; $G$112),FirstRowInput+Integration*COUNT($B$114:B256)+Integration-1))*$G$110,"")</f>
        <v>6618334.8387501072</v>
      </c>
      <c r="H257" s="77">
        <f ca="1">IFERROR(AVERAGE(INDEX(INDIRECT("input!" &amp; $H$112 &amp; ":" &amp; $H$112),FirstRowInput+Integration*COUNT($B$114:B256)):INDEX(INDIRECT("input!" &amp; $H$112 &amp; ":" &amp; $H$112),FirstRowInput+Integration*COUNT($B$114:B256)+Integration-1))*$H$110,"")</f>
        <v>-2202.1618603863531</v>
      </c>
      <c r="I257" s="42">
        <v>145</v>
      </c>
      <c r="J257" s="74" t="str">
        <f t="shared" si="196"/>
        <v/>
      </c>
      <c r="K257" s="183"/>
      <c r="L257" s="394"/>
      <c r="M257" s="394"/>
      <c r="N257" s="394"/>
      <c r="O257" s="394"/>
      <c r="P257" s="394"/>
      <c r="Q257" s="394"/>
      <c r="R257" s="394"/>
      <c r="S257" s="81">
        <f t="shared" ca="1" si="200"/>
        <v>-1981.4888132887581</v>
      </c>
      <c r="T257" s="108">
        <f t="shared" ca="1" si="197"/>
        <v>878.52006157522555</v>
      </c>
      <c r="U257" s="108">
        <f t="shared" ca="1" si="198"/>
        <v>-764.45205477860509</v>
      </c>
      <c r="V257" s="108">
        <f t="shared" ca="1" si="199"/>
        <v>-3198.5255717989112</v>
      </c>
    </row>
    <row r="258" spans="1:22" s="14" customFormat="1" ht="15" customHeight="1" x14ac:dyDescent="0.15">
      <c r="A258" s="75">
        <f ca="1">IFERROR(IF(AND(MAX($A$114:A257)&gt;A257+1, MAX($A$114:A257)&gt;20),0,IF(AND(D258="",G258=""),0,IF(OR(D258&gt;LimitSignB10, G258&gt;LimitSignB11),A257+1,0))),"")</f>
        <v>64</v>
      </c>
      <c r="B258" s="76">
        <f ca="1">IFERROR(MyTime(INDEX(INDIRECT("input!"&amp;$B$112&amp;":"&amp;$B$112),FirstRowInput+Integration*COUNT($B$114:B257)) )* $B$110,"")</f>
        <v>3301.2830720000002</v>
      </c>
      <c r="C258" s="77">
        <f ca="1">IFERROR(AVERAGE(INDEX(INDIRECT("input!" &amp; $C$112 &amp; ":" &amp; $C$112),FirstRowInput+Integration*COUNT($B$114:B257)):INDEX(INDIRECT("input!" &amp; $C$112 &amp; ":" &amp; $C$112),FirstRowInput+Integration*COUNT($B$114:B257)+Integration-1))*$C$110,"")</f>
        <v>17874.215633997464</v>
      </c>
      <c r="D258" s="77">
        <f ca="1">IFERROR(AVERAGE(INDEX(INDIRECT("input!" &amp; $D$112 &amp; ":" &amp; $D$112),FirstRowInput+Integration*COUNT($B$114:B257)):INDEX(INDIRECT("input!" &amp; $D$112 &amp; ":" &amp; $D$112),FirstRowInput+Integration*COUNT($B$114:B257)+Integration-1))*$D$110,"")</f>
        <v>1475654.5922197809</v>
      </c>
      <c r="E258" s="77">
        <f ca="1">IFERROR(AVERAGE(INDEX(INDIRECT("input!" &amp; $E$112 &amp; ":" &amp; $E$112),FirstRowInput+Integration*COUNT($B$114:B257)):INDEX(INDIRECT("input!" &amp; $E$112 &amp; ":" &amp; $E$112),FirstRowInput+Integration*COUNT($B$114:B257)+Integration-1))*$E$110,"")</f>
        <v>19548.95832373355</v>
      </c>
      <c r="F258" s="77">
        <f ca="1">IFERROR(AVERAGE(INDEX(INDIRECT("input!" &amp; $F$112 &amp; ":" &amp; $F$112),FirstRowInput+Integration*COUNT($B$114:B257)):INDEX(INDIRECT("input!" &amp; $F$112 &amp; ":" &amp; $F$112),FirstRowInput+Integration*COUNT($B$114:B257)+Integration-1))*$F$110,"")</f>
        <v>11386.538227532956</v>
      </c>
      <c r="G258" s="77">
        <f ca="1">IFERROR(AVERAGE(INDEX(INDIRECT("input!" &amp; $G$112 &amp; ":" &amp; $G$112),FirstRowInput+Integration*COUNT($B$114:B257)):INDEX(INDIRECT("input!" &amp; $G$112 &amp; ":" &amp; $G$112),FirstRowInput+Integration*COUNT($B$114:B257)+Integration-1))*$G$110,"")</f>
        <v>6663552.6490844693</v>
      </c>
      <c r="H258" s="77">
        <f ca="1">IFERROR(AVERAGE(INDEX(INDIRECT("input!" &amp; $H$112 &amp; ":" &amp; $H$112),FirstRowInput+Integration*COUNT($B$114:B257)):INDEX(INDIRECT("input!" &amp; $H$112 &amp; ":" &amp; $H$112),FirstRowInput+Integration*COUNT($B$114:B257)+Integration-1))*$H$110,"")</f>
        <v>11900.808720922118</v>
      </c>
      <c r="I258" s="42">
        <v>146</v>
      </c>
      <c r="J258" s="74" t="str">
        <f t="shared" si="196"/>
        <v/>
      </c>
      <c r="K258" s="183"/>
      <c r="L258" s="394"/>
      <c r="M258" s="394"/>
      <c r="N258" s="394"/>
      <c r="O258" s="394"/>
      <c r="P258" s="394"/>
      <c r="Q258" s="394"/>
      <c r="R258" s="394"/>
      <c r="S258" s="81">
        <f t="shared" ca="1" si="200"/>
        <v>687.91499523362836</v>
      </c>
      <c r="T258" s="108">
        <f t="shared" ca="1" si="197"/>
        <v>542.61431314837682</v>
      </c>
      <c r="U258" s="108">
        <f t="shared" ca="1" si="198"/>
        <v>-1053.7055701955687</v>
      </c>
      <c r="V258" s="108">
        <f t="shared" ca="1" si="199"/>
        <v>2429.5355606628254</v>
      </c>
    </row>
    <row r="259" spans="1:22" s="14" customFormat="1" ht="15" customHeight="1" x14ac:dyDescent="0.15">
      <c r="A259" s="75">
        <f ca="1">IFERROR(IF(AND(MAX($A$114:A258)&gt;A258+1, MAX($A$114:A258)&gt;20),0,IF(AND(D259="",G259=""),0,IF(OR(D259&gt;LimitSignB10, G259&gt;LimitSignB11),A258+1,0))),"")</f>
        <v>65</v>
      </c>
      <c r="B259" s="76">
        <f ca="1">IFERROR(MyTime(INDEX(INDIRECT("input!"&amp;$B$112&amp;":"&amp;$B$112),FirstRowInput+Integration*COUNT($B$114:B258)) )* $B$110,"")</f>
        <v>3301.3511680000001</v>
      </c>
      <c r="C259" s="77">
        <f ca="1">IFERROR(AVERAGE(INDEX(INDIRECT("input!" &amp; $C$112 &amp; ":" &amp; $C$112),FirstRowInput+Integration*COUNT($B$114:B258)):INDEX(INDIRECT("input!" &amp; $C$112 &amp; ":" &amp; $C$112),FirstRowInput+Integration*COUNT($B$114:B258)+Integration-1))*$C$110,"")</f>
        <v>21345.766384574425</v>
      </c>
      <c r="D259" s="77">
        <f ca="1">IFERROR(AVERAGE(INDEX(INDIRECT("input!" &amp; $D$112 &amp; ":" &amp; $D$112),FirstRowInput+Integration*COUNT($B$114:B258)):INDEX(INDIRECT("input!" &amp; $D$112 &amp; ":" &amp; $D$112),FirstRowInput+Integration*COUNT($B$114:B258)+Integration-1))*$D$110,"")</f>
        <v>1484352.6928389184</v>
      </c>
      <c r="E259" s="77">
        <f ca="1">IFERROR(AVERAGE(INDEX(INDIRECT("input!" &amp; $E$112 &amp; ":" &amp; $E$112),FirstRowInput+Integration*COUNT($B$114:B258)):INDEX(INDIRECT("input!" &amp; $E$112 &amp; ":" &amp; $E$112),FirstRowInput+Integration*COUNT($B$114:B258)+Integration-1))*$E$110,"")</f>
        <v>17952.414993411039</v>
      </c>
      <c r="F259" s="77">
        <f ca="1">IFERROR(AVERAGE(INDEX(INDIRECT("input!" &amp; $F$112 &amp; ":" &amp; $F$112),FirstRowInput+Integration*COUNT($B$114:B258)):INDEX(INDIRECT("input!" &amp; $F$112 &amp; ":" &amp; $F$112),FirstRowInput+Integration*COUNT($B$114:B258)+Integration-1))*$F$110,"")</f>
        <v>8659.8538748888404</v>
      </c>
      <c r="G259" s="77">
        <f ca="1">IFERROR(AVERAGE(INDEX(INDIRECT("input!" &amp; $G$112 &amp; ":" &amp; $G$112),FirstRowInput+Integration*COUNT($B$114:B258)):INDEX(INDIRECT("input!" &amp; $G$112 &amp; ":" &amp; $G$112),FirstRowInput+Integration*COUNT($B$114:B258)+Integration-1))*$G$110,"")</f>
        <v>6714752.2689549113</v>
      </c>
      <c r="H259" s="77">
        <f ca="1">IFERROR(AVERAGE(INDEX(INDIRECT("input!" &amp; $H$112 &amp; ":" &amp; $H$112),FirstRowInput+Integration*COUNT($B$114:B258)):INDEX(INDIRECT("input!" &amp; $H$112 &amp; ":" &amp; $H$112),FirstRowInput+Integration*COUNT($B$114:B258)+Integration-1))*$H$110,"")</f>
        <v>13901.504311466055</v>
      </c>
      <c r="I259" s="42">
        <v>147</v>
      </c>
      <c r="J259" s="74" t="str">
        <f t="shared" si="196"/>
        <v/>
      </c>
      <c r="K259" s="183"/>
      <c r="L259" s="394"/>
      <c r="M259" s="394"/>
      <c r="N259" s="394"/>
      <c r="O259" s="394"/>
      <c r="P259" s="394"/>
      <c r="Q259" s="394"/>
      <c r="R259" s="394"/>
      <c r="S259" s="81">
        <f t="shared" ca="1" si="200"/>
        <v>860.44717563713129</v>
      </c>
      <c r="T259" s="108">
        <f t="shared" ca="1" si="197"/>
        <v>347.50864310529869</v>
      </c>
      <c r="U259" s="108">
        <f t="shared" ca="1" si="198"/>
        <v>381.32750252553342</v>
      </c>
      <c r="V259" s="108">
        <f t="shared" ca="1" si="199"/>
        <v>1339.5668487487292</v>
      </c>
    </row>
    <row r="260" spans="1:22" s="14" customFormat="1" ht="15" customHeight="1" x14ac:dyDescent="0.15">
      <c r="A260" s="75">
        <f ca="1">IFERROR(IF(AND(MAX($A$114:A259)&gt;A259+1, MAX($A$114:A259)&gt;20),0,IF(AND(D260="",G260=""),0,IF(OR(D260&gt;LimitSignB10, G260&gt;LimitSignB11),A259+1,0))),"")</f>
        <v>66</v>
      </c>
      <c r="B260" s="76">
        <f ca="1">IFERROR(MyTime(INDEX(INDIRECT("input!"&amp;$B$112&amp;":"&amp;$B$112),FirstRowInput+Integration*COUNT($B$114:B259)) )* $B$110,"")</f>
        <v>3301.4192640000001</v>
      </c>
      <c r="C260" s="77">
        <f ca="1">IFERROR(AVERAGE(INDEX(INDIRECT("input!" &amp; $C$112 &amp; ":" &amp; $C$112),FirstRowInput+Integration*COUNT($B$114:B259)):INDEX(INDIRECT("input!" &amp; $C$112 &amp; ":" &amp; $C$112),FirstRowInput+Integration*COUNT($B$114:B259)+Integration-1))*$C$110,"")</f>
        <v>20164.331064712409</v>
      </c>
      <c r="D260" s="77">
        <f ca="1">IFERROR(AVERAGE(INDEX(INDIRECT("input!" &amp; $D$112 &amp; ":" &amp; $D$112),FirstRowInput+Integration*COUNT($B$114:B259)):INDEX(INDIRECT("input!" &amp; $D$112 &amp; ":" &amp; $D$112),FirstRowInput+Integration*COUNT($B$114:B259)+Integration-1))*$D$110,"")</f>
        <v>1489408.7380826722</v>
      </c>
      <c r="E260" s="77">
        <f ca="1">IFERROR(AVERAGE(INDEX(INDIRECT("input!" &amp; $E$112 &amp; ":" &amp; $E$112),FirstRowInput+Integration*COUNT($B$114:B259)):INDEX(INDIRECT("input!" &amp; $E$112 &amp; ":" &amp; $E$112),FirstRowInput+Integration*COUNT($B$114:B259)+Integration-1))*$E$110,"")</f>
        <v>19158.746983647397</v>
      </c>
      <c r="F260" s="77">
        <f ca="1">IFERROR(AVERAGE(INDEX(INDIRECT("input!" &amp; $F$112 &amp; ":" &amp; $F$112),FirstRowInput+Integration*COUNT($B$114:B259)):INDEX(INDIRECT("input!" &amp; $F$112 &amp; ":" &amp; $F$112),FirstRowInput+Integration*COUNT($B$114:B259)+Integration-1))*$F$110,"")</f>
        <v>8965.8860812344719</v>
      </c>
      <c r="G260" s="77">
        <f ca="1">IFERROR(AVERAGE(INDEX(INDIRECT("input!" &amp; $G$112 &amp; ":" &amp; $G$112),FirstRowInput+Integration*COUNT($B$114:B259)):INDEX(INDIRECT("input!" &amp; $G$112 &amp; ":" &amp; $G$112),FirstRowInput+Integration*COUNT($B$114:B259)+Integration-1))*$G$110,"")</f>
        <v>6734323.520051213</v>
      </c>
      <c r="H260" s="77">
        <f ca="1">IFERROR(AVERAGE(INDEX(INDIRECT("input!" &amp; $H$112 &amp; ":" &amp; $H$112),FirstRowInput+Integration*COUNT($B$114:B259)):INDEX(INDIRECT("input!" &amp; $H$112 &amp; ":" &amp; $H$112),FirstRowInput+Integration*COUNT($B$114:B259)+Integration-1))*$H$110,"")</f>
        <v>14682.021536998858</v>
      </c>
      <c r="I260" s="42">
        <v>148</v>
      </c>
      <c r="J260" s="74" t="str">
        <f t="shared" si="196"/>
        <v/>
      </c>
      <c r="K260" s="183"/>
      <c r="L260" s="394"/>
      <c r="M260" s="394"/>
      <c r="N260" s="394"/>
      <c r="O260" s="394"/>
      <c r="P260" s="394"/>
      <c r="Q260" s="394"/>
      <c r="R260" s="394"/>
      <c r="S260" s="81">
        <f t="shared" ca="1" si="200"/>
        <v>1201.3425913243882</v>
      </c>
      <c r="T260" s="108">
        <f t="shared" ca="1" si="197"/>
        <v>1327.6701286165262</v>
      </c>
      <c r="U260" s="108">
        <f t="shared" ca="1" si="198"/>
        <v>2167.9781880677074</v>
      </c>
      <c r="V260" s="108">
        <f t="shared" ca="1" si="199"/>
        <v>234.70699458106901</v>
      </c>
    </row>
    <row r="261" spans="1:22" s="14" customFormat="1" ht="15" customHeight="1" x14ac:dyDescent="0.15">
      <c r="A261" s="75">
        <f ca="1">IFERROR(IF(AND(MAX($A$114:A260)&gt;A260+1, MAX($A$114:A260)&gt;20),0,IF(AND(D261="",G261=""),0,IF(OR(D261&gt;LimitSignB10, G261&gt;LimitSignB11),A260+1,0))),"")</f>
        <v>67</v>
      </c>
      <c r="B261" s="76">
        <f ca="1">IFERROR(MyTime(INDEX(INDIRECT("input!"&amp;$B$112&amp;":"&amp;$B$112),FirstRowInput+Integration*COUNT($B$114:B260)) )* $B$110,"")</f>
        <v>3301.4871039999998</v>
      </c>
      <c r="C261" s="77">
        <f ca="1">IFERROR(AVERAGE(INDEX(INDIRECT("input!" &amp; $C$112 &amp; ":" &amp; $C$112),FirstRowInput+Integration*COUNT($B$114:B260)):INDEX(INDIRECT("input!" &amp; $C$112 &amp; ":" &amp; $C$112),FirstRowInput+Integration*COUNT($B$114:B260)+Integration-1))*$C$110,"")</f>
        <v>21536.503092341391</v>
      </c>
      <c r="D261" s="77">
        <f ca="1">IFERROR(AVERAGE(INDEX(INDIRECT("input!" &amp; $D$112 &amp; ":" &amp; $D$112),FirstRowInput+Integration*COUNT($B$114:B260)):INDEX(INDIRECT("input!" &amp; $D$112 &amp; ":" &amp; $D$112),FirstRowInput+Integration*COUNT($B$114:B260)+Integration-1))*$D$110,"")</f>
        <v>1485513.4021514405</v>
      </c>
      <c r="E261" s="77">
        <f ca="1">IFERROR(AVERAGE(INDEX(INDIRECT("input!" &amp; $E$112 &amp; ":" &amp; $E$112),FirstRowInput+Integration*COUNT($B$114:B260)):INDEX(INDIRECT("input!" &amp; $E$112 &amp; ":" &amp; $E$112),FirstRowInput+Integration*COUNT($B$114:B260)+Integration-1))*$E$110,"")</f>
        <v>19912.737964433494</v>
      </c>
      <c r="F261" s="77">
        <f ca="1">IFERROR(AVERAGE(INDEX(INDIRECT("input!" &amp; $F$112 &amp; ":" &amp; $F$112),FirstRowInput+Integration*COUNT($B$114:B260)):INDEX(INDIRECT("input!" &amp; $F$112 &amp; ":" &amp; $F$112),FirstRowInput+Integration*COUNT($B$114:B260)+Integration-1))*$F$110,"")</f>
        <v>15691.637445696264</v>
      </c>
      <c r="G261" s="77">
        <f ca="1">IFERROR(AVERAGE(INDEX(INDIRECT("input!" &amp; $G$112 &amp; ":" &amp; $G$112),FirstRowInput+Integration*COUNT($B$114:B260)):INDEX(INDIRECT("input!" &amp; $G$112 &amp; ":" &amp; $G$112),FirstRowInput+Integration*COUNT($B$114:B260)+Integration-1))*$G$110,"")</f>
        <v>6721805.9414024688</v>
      </c>
      <c r="H261" s="77">
        <f ca="1">IFERROR(AVERAGE(INDEX(INDIRECT("input!" &amp; $H$112 &amp; ":" &amp; $H$112),FirstRowInput+Integration*COUNT($B$114:B260)):INDEX(INDIRECT("input!" &amp; $H$112 &amp; ":" &amp; $H$112),FirstRowInput+Integration*COUNT($B$114:B260)+Integration-1))*$H$110,"")</f>
        <v>8630.9025851798251</v>
      </c>
      <c r="I261" s="42">
        <v>149</v>
      </c>
      <c r="J261" s="74" t="str">
        <f t="shared" si="196"/>
        <v/>
      </c>
      <c r="K261" s="183"/>
      <c r="L261" s="394"/>
      <c r="M261" s="394"/>
      <c r="N261" s="394"/>
      <c r="O261" s="394"/>
      <c r="P261" s="394"/>
      <c r="Q261" s="394"/>
      <c r="R261" s="394"/>
      <c r="S261" s="81">
        <f t="shared" ca="1" si="200"/>
        <v>4415.906576911535</v>
      </c>
      <c r="T261" s="108">
        <f t="shared" ca="1" si="197"/>
        <v>612.030632761991</v>
      </c>
      <c r="U261" s="108">
        <f t="shared" ca="1" si="198"/>
        <v>4723.5291865155323</v>
      </c>
      <c r="V261" s="108">
        <f t="shared" ca="1" si="199"/>
        <v>4108.2839673075378</v>
      </c>
    </row>
    <row r="262" spans="1:22" s="14" customFormat="1" ht="15" customHeight="1" x14ac:dyDescent="0.15">
      <c r="A262" s="75">
        <f ca="1">IFERROR(IF(AND(MAX($A$114:A261)&gt;A261+1, MAX($A$114:A261)&gt;20),0,IF(AND(D262="",G262=""),0,IF(OR(D262&gt;LimitSignB10, G262&gt;LimitSignB11),A261+1,0))),"")</f>
        <v>68</v>
      </c>
      <c r="B262" s="76">
        <f ca="1">IFERROR(MyTime(INDEX(INDIRECT("input!"&amp;$B$112&amp;":"&amp;$B$112),FirstRowInput+Integration*COUNT($B$114:B261)) )* $B$110,"")</f>
        <v>3301.5552000000002</v>
      </c>
      <c r="C262" s="77">
        <f ca="1">IFERROR(AVERAGE(INDEX(INDIRECT("input!" &amp; $C$112 &amp; ":" &amp; $C$112),FirstRowInput+Integration*COUNT($B$114:B261)):INDEX(INDIRECT("input!" &amp; $C$112 &amp; ":" &amp; $C$112),FirstRowInput+Integration*COUNT($B$114:B261)+Integration-1))*$C$110,"")</f>
        <v>20409.743427681318</v>
      </c>
      <c r="D262" s="77">
        <f ca="1">IFERROR(AVERAGE(INDEX(INDIRECT("input!" &amp; $D$112 &amp; ":" &amp; $D$112),FirstRowInput+Integration*COUNT($B$114:B261)):INDEX(INDIRECT("input!" &amp; $D$112 &amp; ":" &amp; $D$112),FirstRowInput+Integration*COUNT($B$114:B261)+Integration-1))*$D$110,"")</f>
        <v>1479012.6970123751</v>
      </c>
      <c r="E262" s="77">
        <f ca="1">IFERROR(AVERAGE(INDEX(INDIRECT("input!" &amp; $E$112 &amp; ":" &amp; $E$112),FirstRowInput+Integration*COUNT($B$114:B261)):INDEX(INDIRECT("input!" &amp; $E$112 &amp; ":" &amp; $E$112),FirstRowInput+Integration*COUNT($B$114:B261)+Integration-1))*$E$110,"")</f>
        <v>17727.467991938327</v>
      </c>
      <c r="F262" s="77">
        <f ca="1">IFERROR(AVERAGE(INDEX(INDIRECT("input!" &amp; $F$112 &amp; ":" &amp; $F$112),FirstRowInput+Integration*COUNT($B$114:B261)):INDEX(INDIRECT("input!" &amp; $F$112 &amp; ":" &amp; $F$112),FirstRowInput+Integration*COUNT($B$114:B261)+Integration-1))*$F$110,"")</f>
        <v>14019.805931515362</v>
      </c>
      <c r="G262" s="77">
        <f ca="1">IFERROR(AVERAGE(INDEX(INDIRECT("input!" &amp; $G$112 &amp; ":" &amp; $G$112),FirstRowInput+Integration*COUNT($B$114:B261)):INDEX(INDIRECT("input!" &amp; $G$112 &amp; ":" &amp; $G$112),FirstRowInput+Integration*COUNT($B$114:B261)+Integration-1))*$G$110,"")</f>
        <v>6700546.3622461725</v>
      </c>
      <c r="H262" s="77">
        <f ca="1">IFERROR(AVERAGE(INDEX(INDIRECT("input!" &amp; $H$112 &amp; ":" &amp; $H$112),FirstRowInput+Integration*COUNT($B$114:B261)):INDEX(INDIRECT("input!" &amp; $H$112 &amp; ":" &amp; $H$112),FirstRowInput+Integration*COUNT($B$114:B261)+Integration-1))*$H$110,"")</f>
        <v>10586.924748963076</v>
      </c>
      <c r="I262" s="42">
        <v>150</v>
      </c>
      <c r="J262" s="74" t="str">
        <f t="shared" si="196"/>
        <v/>
      </c>
      <c r="K262" s="183"/>
      <c r="L262" s="394"/>
      <c r="M262" s="394"/>
      <c r="N262" s="394"/>
      <c r="O262" s="394"/>
      <c r="P262" s="394"/>
      <c r="Q262" s="394"/>
      <c r="R262" s="394"/>
      <c r="S262" s="81">
        <f t="shared" ca="1" si="200"/>
        <v>4471.2255245593524</v>
      </c>
      <c r="T262" s="108">
        <f t="shared" ca="1" si="197"/>
        <v>-94.392776732864149</v>
      </c>
      <c r="U262" s="108">
        <f t="shared" ca="1" si="198"/>
        <v>4114.6863043125904</v>
      </c>
      <c r="V262" s="108">
        <f t="shared" ca="1" si="199"/>
        <v>4827.7647448061143</v>
      </c>
    </row>
    <row r="263" spans="1:22" s="14" customFormat="1" ht="15" customHeight="1" x14ac:dyDescent="0.15">
      <c r="A263" s="75">
        <f ca="1">IFERROR(IF(AND(MAX($A$114:A262)&gt;A262+1, MAX($A$114:A262)&gt;20),0,IF(AND(D263="",G263=""),0,IF(OR(D263&gt;LimitSignB10, G263&gt;LimitSignB11),A262+1,0))),"")</f>
        <v>69</v>
      </c>
      <c r="B263" s="76">
        <f ca="1">IFERROR(MyTime(INDEX(INDIRECT("input!"&amp;$B$112&amp;":"&amp;$B$112),FirstRowInput+Integration*COUNT($B$114:B262)) )* $B$110,"")</f>
        <v>3301.6232960000002</v>
      </c>
      <c r="C263" s="77">
        <f ca="1">IFERROR(AVERAGE(INDEX(INDIRECT("input!" &amp; $C$112 &amp; ":" &amp; $C$112),FirstRowInput+Integration*COUNT($B$114:B262)):INDEX(INDIRECT("input!" &amp; $C$112 &amp; ":" &amp; $C$112),FirstRowInput+Integration*COUNT($B$114:B262)+Integration-1))*$C$110,"")</f>
        <v>20572.027568546127</v>
      </c>
      <c r="D263" s="77">
        <f ca="1">IFERROR(AVERAGE(INDEX(INDIRECT("input!" &amp; $D$112 &amp; ":" &amp; $D$112),FirstRowInput+Integration*COUNT($B$114:B262)):INDEX(INDIRECT("input!" &amp; $D$112 &amp; ":" &amp; $D$112),FirstRowInput+Integration*COUNT($B$114:B262)+Integration-1))*$D$110,"")</f>
        <v>1485825.6667257494</v>
      </c>
      <c r="E263" s="77">
        <f ca="1">IFERROR(AVERAGE(INDEX(INDIRECT("input!" &amp; $E$112 &amp; ":" &amp; $E$112),FirstRowInput+Integration*COUNT($B$114:B262)):INDEX(INDIRECT("input!" &amp; $E$112 &amp; ":" &amp; $E$112),FirstRowInput+Integration*COUNT($B$114:B262)+Integration-1))*$E$110,"")</f>
        <v>18499.891145443784</v>
      </c>
      <c r="F263" s="77">
        <f ca="1">IFERROR(AVERAGE(INDEX(INDIRECT("input!" &amp; $F$112 &amp; ":" &amp; $F$112),FirstRowInput+Integration*COUNT($B$114:B262)):INDEX(INDIRECT("input!" &amp; $F$112 &amp; ":" &amp; $F$112),FirstRowInput+Integration*COUNT($B$114:B262)+Integration-1))*$F$110,"")</f>
        <v>16632.539076577945</v>
      </c>
      <c r="G263" s="77">
        <f ca="1">IFERROR(AVERAGE(INDEX(INDIRECT("input!" &amp; $G$112 &amp; ":" &amp; $G$112),FirstRowInput+Integration*COUNT($B$114:B262)):INDEX(INDIRECT("input!" &amp; $G$112 &amp; ":" &amp; $G$112),FirstRowInput+Integration*COUNT($B$114:B262)+Integration-1))*$G$110,"")</f>
        <v>6705245.4429046316</v>
      </c>
      <c r="H263" s="77">
        <f ca="1">IFERROR(AVERAGE(INDEX(INDIRECT("input!" &amp; $H$112 &amp; ":" &amp; $H$112),FirstRowInput+Integration*COUNT($B$114:B262)):INDEX(INDIRECT("input!" &amp; $H$112 &amp; ":" &amp; $H$112),FirstRowInput+Integration*COUNT($B$114:B262)+Integration-1))*$H$110,"")</f>
        <v>26302.752455178263</v>
      </c>
      <c r="I263" s="42">
        <v>151</v>
      </c>
      <c r="J263" s="74" t="str">
        <f t="shared" si="196"/>
        <v/>
      </c>
      <c r="K263" s="183"/>
      <c r="L263" s="394"/>
      <c r="M263" s="394"/>
      <c r="N263" s="394"/>
      <c r="O263" s="394"/>
      <c r="P263" s="394"/>
      <c r="Q263" s="394"/>
      <c r="R263" s="394"/>
      <c r="S263" s="81">
        <f t="shared" ca="1" si="200"/>
        <v>4687.9387353248549</v>
      </c>
      <c r="T263" s="108">
        <f t="shared" ca="1" si="197"/>
        <v>257.10309897140542</v>
      </c>
      <c r="U263" s="108">
        <f t="shared" ca="1" si="198"/>
        <v>3373.1498522171696</v>
      </c>
      <c r="V263" s="108">
        <f t="shared" ca="1" si="199"/>
        <v>6002.7276184325401</v>
      </c>
    </row>
    <row r="264" spans="1:22" s="14" customFormat="1" ht="15" customHeight="1" x14ac:dyDescent="0.15">
      <c r="A264" s="75">
        <f ca="1">IFERROR(IF(AND(MAX($A$114:A263)&gt;A263+1, MAX($A$114:A263)&gt;20),0,IF(AND(D264="",G264=""),0,IF(OR(D264&gt;LimitSignB10, G264&gt;LimitSignB11),A263+1,0))),"")</f>
        <v>70</v>
      </c>
      <c r="B264" s="76">
        <f ca="1">IFERROR(MyTime(INDEX(INDIRECT("input!"&amp;$B$112&amp;":"&amp;$B$112),FirstRowInput+Integration*COUNT($B$114:B263)) )* $B$110,"")</f>
        <v>3301.6908800000001</v>
      </c>
      <c r="C264" s="77">
        <f ca="1">IFERROR(AVERAGE(INDEX(INDIRECT("input!" &amp; $C$112 &amp; ":" &amp; $C$112),FirstRowInput+Integration*COUNT($B$114:B263)):INDEX(INDIRECT("input!" &amp; $C$112 &amp; ":" &amp; $C$112),FirstRowInput+Integration*COUNT($B$114:B263)+Integration-1))*$C$110,"")</f>
        <v>21371.530275708974</v>
      </c>
      <c r="D264" s="77">
        <f ca="1">IFERROR(AVERAGE(INDEX(INDIRECT("input!" &amp; $D$112 &amp; ":" &amp; $D$112),FirstRowInput+Integration*COUNT($B$114:B263)):INDEX(INDIRECT("input!" &amp; $D$112 &amp; ":" &amp; $D$112),FirstRowInput+Integration*COUNT($B$114:B263)+Integration-1))*$D$110,"")</f>
        <v>1489215.289296902</v>
      </c>
      <c r="E264" s="77">
        <f ca="1">IFERROR(AVERAGE(INDEX(INDIRECT("input!" &amp; $E$112 &amp; ":" &amp; $E$112),FirstRowInput+Integration*COUNT($B$114:B263)):INDEX(INDIRECT("input!" &amp; $E$112 &amp; ":" &amp; $E$112),FirstRowInput+Integration*COUNT($B$114:B263)+Integration-1))*$E$110,"")</f>
        <v>18430.45974334687</v>
      </c>
      <c r="F264" s="77">
        <f ca="1">IFERROR(AVERAGE(INDEX(INDIRECT("input!" &amp; $F$112 &amp; ":" &amp; $F$112),FirstRowInput+Integration*COUNT($B$114:B263)):INDEX(INDIRECT("input!" &amp; $F$112 &amp; ":" &amp; $F$112),FirstRowInput+Integration*COUNT($B$114:B263)+Integration-1))*$F$110,"")</f>
        <v>13865.108799087437</v>
      </c>
      <c r="G264" s="77">
        <f ca="1">IFERROR(AVERAGE(INDEX(INDIRECT("input!" &amp; $G$112 &amp; ":" &amp; $G$112),FirstRowInput+Integration*COUNT($B$114:B263)):INDEX(INDIRECT("input!" &amp; $G$112 &amp; ":" &amp; $G$112),FirstRowInput+Integration*COUNT($B$114:B263)+Integration-1))*$G$110,"")</f>
        <v>6724225.8116928339</v>
      </c>
      <c r="H264" s="77">
        <f ca="1">IFERROR(AVERAGE(INDEX(INDIRECT("input!" &amp; $H$112 &amp; ":" &amp; $H$112),FirstRowInput+Integration*COUNT($B$114:B263)):INDEX(INDIRECT("input!" &amp; $H$112 &amp; ":" &amp; $H$112),FirstRowInput+Integration*COUNT($B$114:B263)+Integration-1))*$H$110,"")</f>
        <v>10789.344917675562</v>
      </c>
      <c r="I264" s="42">
        <v>152</v>
      </c>
      <c r="J264" s="74" t="str">
        <f t="shared" si="196"/>
        <v/>
      </c>
      <c r="K264" s="183"/>
      <c r="L264" s="394"/>
      <c r="M264" s="394"/>
      <c r="N264" s="394"/>
      <c r="O264" s="394"/>
      <c r="P264" s="394"/>
      <c r="Q264" s="394"/>
      <c r="R264" s="394"/>
      <c r="S264" s="81">
        <f t="shared" ca="1" si="200"/>
        <v>2173.3204101256042</v>
      </c>
      <c r="T264" s="108">
        <f t="shared" ca="1" si="197"/>
        <v>-67.412910045586614</v>
      </c>
      <c r="U264" s="108">
        <f t="shared" ca="1" si="198"/>
        <v>4336.1827477177703</v>
      </c>
      <c r="V264" s="108">
        <f t="shared" ca="1" si="199"/>
        <v>10.458072533438099</v>
      </c>
    </row>
    <row r="265" spans="1:22" s="14" customFormat="1" ht="15" customHeight="1" x14ac:dyDescent="0.15">
      <c r="A265" s="75">
        <f ca="1">IFERROR(IF(AND(MAX($A$114:A264)&gt;A264+1, MAX($A$114:A264)&gt;20),0,IF(AND(D265="",G265=""),0,IF(OR(D265&gt;LimitSignB10, G265&gt;LimitSignB11),A264+1,0))),"")</f>
        <v>71</v>
      </c>
      <c r="B265" s="76">
        <f ca="1">IFERROR(MyTime(INDEX(INDIRECT("input!"&amp;$B$112&amp;":"&amp;$B$112),FirstRowInput+Integration*COUNT($B$114:B264)) )* $B$110,"")</f>
        <v>3301.7594880000001</v>
      </c>
      <c r="C265" s="77">
        <f ca="1">IFERROR(AVERAGE(INDEX(INDIRECT("input!" &amp; $C$112 &amp; ":" &amp; $C$112),FirstRowInput+Integration*COUNT($B$114:B264)):INDEX(INDIRECT("input!" &amp; $C$112 &amp; ":" &amp; $C$112),FirstRowInput+Integration*COUNT($B$114:B264)+Integration-1))*$C$110,"")</f>
        <v>19716.57969419505</v>
      </c>
      <c r="D265" s="77">
        <f ca="1">IFERROR(AVERAGE(INDEX(INDIRECT("input!" &amp; $D$112 &amp; ":" &amp; $D$112),FirstRowInput+Integration*COUNT($B$114:B264)):INDEX(INDIRECT("input!" &amp; $D$112 &amp; ":" &amp; $D$112),FirstRowInput+Integration*COUNT($B$114:B264)+Integration-1))*$D$110,"")</f>
        <v>1486772.6790831096</v>
      </c>
      <c r="E265" s="77">
        <f ca="1">IFERROR(AVERAGE(INDEX(INDIRECT("input!" &amp; $E$112 &amp; ":" &amp; $E$112),FirstRowInput+Integration*COUNT($B$114:B264)):INDEX(INDIRECT("input!" &amp; $E$112 &amp; ":" &amp; $E$112),FirstRowInput+Integration*COUNT($B$114:B264)+Integration-1))*$E$110,"")</f>
        <v>17850.859127409796</v>
      </c>
      <c r="F265" s="77">
        <f ca="1">IFERROR(AVERAGE(INDEX(INDIRECT("input!" &amp; $F$112 &amp; ":" &amp; $F$112),FirstRowInput+Integration*COUNT($B$114:B264)):INDEX(INDIRECT("input!" &amp; $F$112 &amp; ":" &amp; $F$112),FirstRowInput+Integration*COUNT($B$114:B264)+Integration-1))*$F$110,"")</f>
        <v>11795.196575229102</v>
      </c>
      <c r="G265" s="77">
        <f ca="1">IFERROR(AVERAGE(INDEX(INDIRECT("input!" &amp; $G$112 &amp; ":" &amp; $G$112),FirstRowInput+Integration*COUNT($B$114:B264)):INDEX(INDIRECT("input!" &amp; $G$112 &amp; ":" &amp; $G$112),FirstRowInput+Integration*COUNT($B$114:B264)+Integration-1))*$G$110,"")</f>
        <v>6716237.9480211604</v>
      </c>
      <c r="H265" s="77">
        <f ca="1">IFERROR(AVERAGE(INDEX(INDIRECT("input!" &amp; $H$112 &amp; ":" &amp; $H$112),FirstRowInput+Integration*COUNT($B$114:B264)):INDEX(INDIRECT("input!" &amp; $H$112 &amp; ":" &amp; $H$112),FirstRowInput+Integration*COUNT($B$114:B264)+Integration-1))*$H$110,"")</f>
        <v>14111.813369842344</v>
      </c>
      <c r="I265" s="42">
        <v>153</v>
      </c>
      <c r="J265" s="74" t="str">
        <f t="shared" si="196"/>
        <v/>
      </c>
      <c r="K265" s="183"/>
      <c r="L265" s="394"/>
      <c r="M265" s="394"/>
      <c r="N265" s="394"/>
      <c r="O265" s="394"/>
      <c r="P265" s="394"/>
      <c r="Q265" s="394"/>
      <c r="R265" s="394"/>
      <c r="S265" s="81">
        <f t="shared" ca="1" si="200"/>
        <v>64.245954768196498</v>
      </c>
      <c r="T265" s="108">
        <f t="shared" ca="1" si="197"/>
        <v>-445.40685589145505</v>
      </c>
      <c r="U265" s="108">
        <f t="shared" ca="1" si="198"/>
        <v>1377.9937018477594</v>
      </c>
      <c r="V265" s="108">
        <f t="shared" ca="1" si="199"/>
        <v>-1249.5017923113664</v>
      </c>
    </row>
    <row r="266" spans="1:22" s="14" customFormat="1" ht="15" customHeight="1" x14ac:dyDescent="0.15">
      <c r="A266" s="75">
        <f ca="1">IFERROR(IF(AND(MAX($A$114:A265)&gt;A265+1, MAX($A$114:A265)&gt;20),0,IF(AND(D266="",G266=""),0,IF(OR(D266&gt;LimitSignB10, G266&gt;LimitSignB11),A265+1,0))),"")</f>
        <v>72</v>
      </c>
      <c r="B266" s="76">
        <f ca="1">IFERROR(MyTime(INDEX(INDIRECT("input!"&amp;$B$112&amp;":"&amp;$B$112),FirstRowInput+Integration*COUNT($B$114:B265)) )* $B$110,"")</f>
        <v>3301.8273280000003</v>
      </c>
      <c r="C266" s="77">
        <f ca="1">IFERROR(AVERAGE(INDEX(INDIRECT("input!" &amp; $C$112 &amp; ":" &amp; $C$112),FirstRowInput+Integration*COUNT($B$114:B265)):INDEX(INDIRECT("input!" &amp; $C$112 &amp; ":" &amp; $C$112),FirstRowInput+Integration*COUNT($B$114:B265)+Integration-1))*$C$110,"")</f>
        <v>18686.195107214044</v>
      </c>
      <c r="D266" s="77">
        <f ca="1">IFERROR(AVERAGE(INDEX(INDIRECT("input!" &amp; $D$112 &amp; ":" &amp; $D$112),FirstRowInput+Integration*COUNT($B$114:B265)):INDEX(INDIRECT("input!" &amp; $D$112 &amp; ":" &amp; $D$112),FirstRowInput+Integration*COUNT($B$114:B265)+Integration-1))*$D$110,"")</f>
        <v>1472244.5519415815</v>
      </c>
      <c r="E266" s="77">
        <f ca="1">IFERROR(AVERAGE(INDEX(INDIRECT("input!" &amp; $E$112 &amp; ":" &amp; $E$112),FirstRowInput+Integration*COUNT($B$114:B265)):INDEX(INDIRECT("input!" &amp; $E$112 &amp; ":" &amp; $E$112),FirstRowInput+Integration*COUNT($B$114:B265)+Integration-1))*$E$110,"")</f>
        <v>17674.471851655133</v>
      </c>
      <c r="F266" s="77">
        <f ca="1">IFERROR(AVERAGE(INDEX(INDIRECT("input!" &amp; $F$112 &amp; ":" &amp; $F$112),FirstRowInput+Integration*COUNT($B$114:B265)):INDEX(INDIRECT("input!" &amp; $F$112 &amp; ":" &amp; $F$112),FirstRowInput+Integration*COUNT($B$114:B265)+Integration-1))*$F$110,"")</f>
        <v>19521.637763079751</v>
      </c>
      <c r="G266" s="77">
        <f ca="1">IFERROR(AVERAGE(INDEX(INDIRECT("input!" &amp; $G$112 &amp; ":" &amp; $G$112),FirstRowInput+Integration*COUNT($B$114:B265)):INDEX(INDIRECT("input!" &amp; $G$112 &amp; ":" &amp; $G$112),FirstRowInput+Integration*COUNT($B$114:B265)+Integration-1))*$G$110,"")</f>
        <v>6646887.0665240157</v>
      </c>
      <c r="H266" s="77">
        <f ca="1">IFERROR(AVERAGE(INDEX(INDIRECT("input!" &amp; $H$112 &amp; ":" &amp; $H$112),FirstRowInput+Integration*COUNT($B$114:B265)):INDEX(INDIRECT("input!" &amp; $H$112 &amp; ":" &amp; $H$112),FirstRowInput+Integration*COUNT($B$114:B265)+Integration-1))*$H$110,"")</f>
        <v>8325.9438174809511</v>
      </c>
      <c r="I266" s="42">
        <v>154</v>
      </c>
      <c r="J266" s="74" t="str">
        <f t="shared" si="196"/>
        <v/>
      </c>
      <c r="K266" s="183"/>
      <c r="L266" s="394"/>
      <c r="M266" s="394"/>
      <c r="N266" s="394"/>
      <c r="O266" s="394"/>
      <c r="P266" s="394"/>
      <c r="Q266" s="394"/>
      <c r="R266" s="394"/>
      <c r="S266" s="81">
        <f t="shared" ca="1" si="200"/>
        <v>1096.9103197861323</v>
      </c>
      <c r="T266" s="108">
        <f t="shared" ca="1" si="197"/>
        <v>-21.79615435579035</v>
      </c>
      <c r="U266" s="108">
        <f t="shared" ca="1" si="198"/>
        <v>3436.7467945319404</v>
      </c>
      <c r="V266" s="108">
        <f t="shared" ca="1" si="199"/>
        <v>-1242.9261549596758</v>
      </c>
    </row>
    <row r="267" spans="1:22" s="14" customFormat="1" ht="15" customHeight="1" x14ac:dyDescent="0.15">
      <c r="A267" s="75">
        <f ca="1">IFERROR(IF(AND(MAX($A$114:A266)&gt;A266+1, MAX($A$114:A266)&gt;20),0,IF(AND(D267="",G267=""),0,IF(OR(D267&gt;LimitSignB10, G267&gt;LimitSignB11),A266+1,0))),"")</f>
        <v>73</v>
      </c>
      <c r="B267" s="76">
        <f ca="1">IFERROR(MyTime(INDEX(INDIRECT("input!"&amp;$B$112&amp;":"&amp;$B$112),FirstRowInput+Integration*COUNT($B$114:B266)) )* $B$110,"")</f>
        <v>3301.8954240000003</v>
      </c>
      <c r="C267" s="77">
        <f ca="1">IFERROR(AVERAGE(INDEX(INDIRECT("input!" &amp; $C$112 &amp; ":" &amp; $C$112),FirstRowInput+Integration*COUNT($B$114:B266)):INDEX(INDIRECT("input!" &amp; $C$112 &amp; ":" &amp; $C$112),FirstRowInput+Integration*COUNT($B$114:B266)+Integration-1))*$C$110,"")</f>
        <v>17925.468684204432</v>
      </c>
      <c r="D267" s="77">
        <f ca="1">IFERROR(AVERAGE(INDEX(INDIRECT("input!" &amp; $D$112 &amp; ":" &amp; $D$112),FirstRowInput+Integration*COUNT($B$114:B266)):INDEX(INDIRECT("input!" &amp; $D$112 &amp; ":" &amp; $D$112),FirstRowInput+Integration*COUNT($B$114:B266)+Integration-1))*$D$110,"")</f>
        <v>1456591.79413634</v>
      </c>
      <c r="E267" s="77">
        <f ca="1">IFERROR(AVERAGE(INDEX(INDIRECT("input!" &amp; $E$112 &amp; ":" &amp; $E$112),FirstRowInput+Integration*COUNT($B$114:B266)):INDEX(INDIRECT("input!" &amp; $E$112 &amp; ":" &amp; $E$112),FirstRowInput+Integration*COUNT($B$114:B266)+Integration-1))*$E$110,"")</f>
        <v>18698.080530481122</v>
      </c>
      <c r="F267" s="77">
        <f ca="1">IFERROR(AVERAGE(INDEX(INDIRECT("input!" &amp; $F$112 &amp; ":" &amp; $F$112),FirstRowInput+Integration*COUNT($B$114:B266)):INDEX(INDIRECT("input!" &amp; $F$112 &amp; ":" &amp; $F$112),FirstRowInput+Integration*COUNT($B$114:B266)+Integration-1))*$F$110,"")</f>
        <v>4990.5416614773967</v>
      </c>
      <c r="G267" s="77">
        <f ca="1">IFERROR(AVERAGE(INDEX(INDIRECT("input!" &amp; $G$112 &amp; ":" &amp; $G$112),FirstRowInput+Integration*COUNT($B$114:B266)):INDEX(INDIRECT("input!" &amp; $G$112 &amp; ":" &amp; $G$112),FirstRowInput+Integration*COUNT($B$114:B266)+Integration-1))*$G$110,"")</f>
        <v>6563011.3175160764</v>
      </c>
      <c r="H267" s="77">
        <f ca="1">IFERROR(AVERAGE(INDEX(INDIRECT("input!" &amp; $H$112 &amp; ":" &amp; $H$112),FirstRowInput+Integration*COUNT($B$114:B266)):INDEX(INDIRECT("input!" &amp; $H$112 &amp; ":" &amp; $H$112),FirstRowInput+Integration*COUNT($B$114:B266)+Integration-1))*$H$110,"")</f>
        <v>7009.4653231411539</v>
      </c>
      <c r="I267" s="42">
        <v>155</v>
      </c>
      <c r="J267" s="74" t="str">
        <f t="shared" si="196"/>
        <v/>
      </c>
      <c r="K267" s="183"/>
      <c r="L267" s="394"/>
      <c r="M267" s="394"/>
      <c r="N267" s="394"/>
      <c r="O267" s="394"/>
      <c r="P267" s="394"/>
      <c r="Q267" s="394"/>
      <c r="R267" s="394"/>
      <c r="S267" s="81">
        <f t="shared" ca="1" si="200"/>
        <v>1625.1239568367755</v>
      </c>
      <c r="T267" s="108">
        <f t="shared" ca="1" si="197"/>
        <v>1529.5482901204668</v>
      </c>
      <c r="U267" s="108">
        <f t="shared" ca="1" si="198"/>
        <v>3055.911190157638</v>
      </c>
      <c r="V267" s="108">
        <f t="shared" ca="1" si="199"/>
        <v>194.33672351591304</v>
      </c>
    </row>
    <row r="268" spans="1:22" s="14" customFormat="1" ht="15" customHeight="1" x14ac:dyDescent="0.15">
      <c r="A268" s="75">
        <f ca="1">IFERROR(IF(AND(MAX($A$114:A267)&gt;A267+1, MAX($A$114:A267)&gt;20),0,IF(AND(D268="",G268=""),0,IF(OR(D268&gt;LimitSignB10, G268&gt;LimitSignB11),A267+1,0))),"")</f>
        <v>74</v>
      </c>
      <c r="B268" s="76">
        <f ca="1">IFERROR(MyTime(INDEX(INDIRECT("input!"&amp;$B$112&amp;":"&amp;$B$112),FirstRowInput+Integration*COUNT($B$114:B267)) )* $B$110,"")</f>
        <v>3301.9635200000002</v>
      </c>
      <c r="C268" s="77">
        <f ca="1">IFERROR(AVERAGE(INDEX(INDIRECT("input!" &amp; $C$112 &amp; ":" &amp; $C$112),FirstRowInput+Integration*COUNT($B$114:B267)):INDEX(INDIRECT("input!" &amp; $C$112 &amp; ":" &amp; $C$112),FirstRowInput+Integration*COUNT($B$114:B267)+Integration-1))*$C$110,"")</f>
        <v>22262.383446970118</v>
      </c>
      <c r="D268" s="77">
        <f ca="1">IFERROR(AVERAGE(INDEX(INDIRECT("input!" &amp; $D$112 &amp; ":" &amp; $D$112),FirstRowInput+Integration*COUNT($B$114:B267)):INDEX(INDIRECT("input!" &amp; $D$112 &amp; ":" &amp; $D$112),FirstRowInput+Integration*COUNT($B$114:B267)+Integration-1))*$D$110,"")</f>
        <v>1442838.7614479966</v>
      </c>
      <c r="E268" s="77">
        <f ca="1">IFERROR(AVERAGE(INDEX(INDIRECT("input!" &amp; $E$112 &amp; ":" &amp; $E$112),FirstRowInput+Integration*COUNT($B$114:B267)):INDEX(INDIRECT("input!" &amp; $E$112 &amp; ":" &amp; $E$112),FirstRowInput+Integration*COUNT($B$114:B267)+Integration-1))*$E$110,"")</f>
        <v>20777.160740607647</v>
      </c>
      <c r="F268" s="77">
        <f ca="1">IFERROR(AVERAGE(INDEX(INDIRECT("input!" &amp; $F$112 &amp; ":" &amp; $F$112),FirstRowInput+Integration*COUNT($B$114:B267)):INDEX(INDIRECT("input!" &amp; $F$112 &amp; ":" &amp; $F$112),FirstRowInput+Integration*COUNT($B$114:B267)+Integration-1))*$F$110,"")</f>
        <v>17971.455853281652</v>
      </c>
      <c r="G268" s="77">
        <f ca="1">IFERROR(AVERAGE(INDEX(INDIRECT("input!" &amp; $G$112 &amp; ":" &amp; $G$112),FirstRowInput+Integration*COUNT($B$114:B267)):INDEX(INDIRECT("input!" &amp; $G$112 &amp; ":" &amp; $G$112),FirstRowInput+Integration*COUNT($B$114:B267)+Integration-1))*$G$110,"")</f>
        <v>6532629.3655958399</v>
      </c>
      <c r="H268" s="77">
        <f ca="1">IFERROR(AVERAGE(INDEX(INDIRECT("input!" &amp; $H$112 &amp; ":" &amp; $H$112),FirstRowInput+Integration*COUNT($B$114:B267)):INDEX(INDIRECT("input!" &amp; $H$112 &amp; ":" &amp; $H$112),FirstRowInput+Integration*COUNT($B$114:B267)+Integration-1))*$H$110,"")</f>
        <v>14131.540281897418</v>
      </c>
      <c r="I268" s="42">
        <v>156</v>
      </c>
      <c r="J268" s="74" t="str">
        <f t="shared" si="196"/>
        <v/>
      </c>
      <c r="K268" s="183"/>
      <c r="L268" s="394"/>
      <c r="M268" s="394"/>
      <c r="N268" s="394"/>
      <c r="O268" s="394"/>
      <c r="P268" s="394"/>
      <c r="Q268" s="394"/>
      <c r="R268" s="394"/>
      <c r="S268" s="81">
        <f t="shared" ca="1" si="200"/>
        <v>3910.1479732311163</v>
      </c>
      <c r="T268" s="108">
        <f t="shared" ca="1" si="197"/>
        <v>3210.8550885054756</v>
      </c>
      <c r="U268" s="108">
        <f t="shared" ca="1" si="198"/>
        <v>5534.8089431958178</v>
      </c>
      <c r="V268" s="108">
        <f t="shared" ca="1" si="199"/>
        <v>2285.4870032664148</v>
      </c>
    </row>
    <row r="269" spans="1:22" s="14" customFormat="1" ht="15" customHeight="1" x14ac:dyDescent="0.15">
      <c r="A269" s="75">
        <f ca="1">IFERROR(IF(AND(MAX($A$114:A268)&gt;A268+1, MAX($A$114:A268)&gt;20),0,IF(AND(D269="",G269=""),0,IF(OR(D269&gt;LimitSignB10, G269&gt;LimitSignB11),A268+1,0))),"")</f>
        <v>75</v>
      </c>
      <c r="B269" s="76">
        <f ca="1">IFERROR(MyTime(INDEX(INDIRECT("input!"&amp;$B$112&amp;":"&amp;$B$112),FirstRowInput+Integration*COUNT($B$114:B268)) )* $B$110,"")</f>
        <v>3302.0316160000002</v>
      </c>
      <c r="C269" s="77">
        <f ca="1">IFERROR(AVERAGE(INDEX(INDIRECT("input!" &amp; $C$112 &amp; ":" &amp; $C$112),FirstRowInput+Integration*COUNT($B$114:B268)):INDEX(INDIRECT("input!" &amp; $C$112 &amp; ":" &amp; $C$112),FirstRowInput+Integration*COUNT($B$114:B268)+Integration-1))*$C$110,"")</f>
        <v>19965.742369039461</v>
      </c>
      <c r="D269" s="77">
        <f ca="1">IFERROR(AVERAGE(INDEX(INDIRECT("input!" &amp; $D$112 &amp; ":" &amp; $D$112),FirstRowInput+Integration*COUNT($B$114:B268)):INDEX(INDIRECT("input!" &amp; $D$112 &amp; ":" &amp; $D$112),FirstRowInput+Integration*COUNT($B$114:B268)+Integration-1))*$D$110,"")</f>
        <v>1448492.7685105114</v>
      </c>
      <c r="E269" s="77">
        <f ca="1">IFERROR(AVERAGE(INDEX(INDIRECT("input!" &amp; $E$112 &amp; ":" &amp; $E$112),FirstRowInput+Integration*COUNT($B$114:B268)):INDEX(INDIRECT("input!" &amp; $E$112 &amp; ":" &amp; $E$112),FirstRowInput+Integration*COUNT($B$114:B268)+Integration-1))*$E$110,"")</f>
        <v>22060.694127251143</v>
      </c>
      <c r="F269" s="77">
        <f ca="1">IFERROR(AVERAGE(INDEX(INDIRECT("input!" &amp; $F$112 &amp; ":" &amp; $F$112),FirstRowInput+Integration*COUNT($B$114:B268)):INDEX(INDIRECT("input!" &amp; $F$112 &amp; ":" &amp; $F$112),FirstRowInput+Integration*COUNT($B$114:B268)+Integration-1))*$F$110,"")</f>
        <v>18379.130949956838</v>
      </c>
      <c r="G269" s="77">
        <f ca="1">IFERROR(AVERAGE(INDEX(INDIRECT("input!" &amp; $G$112 &amp; ":" &amp; $G$112),FirstRowInput+Integration*COUNT($B$114:B268)):INDEX(INDIRECT("input!" &amp; $G$112 &amp; ":" &amp; $G$112),FirstRowInput+Integration*COUNT($B$114:B268)+Integration-1))*$G$110,"")</f>
        <v>6551656.7974283714</v>
      </c>
      <c r="H269" s="77">
        <f ca="1">IFERROR(AVERAGE(INDEX(INDIRECT("input!" &amp; $H$112 &amp; ":" &amp; $H$112),FirstRowInput+Integration*COUNT($B$114:B268)):INDEX(INDIRECT("input!" &amp; $H$112 &amp; ":" &amp; $H$112),FirstRowInput+Integration*COUNT($B$114:B268)+Integration-1))*$H$110,"")</f>
        <v>12637.732452907723</v>
      </c>
      <c r="I269" s="42">
        <v>157</v>
      </c>
      <c r="J269" s="74" t="str">
        <f t="shared" si="196"/>
        <v/>
      </c>
      <c r="K269" s="183"/>
      <c r="L269" s="394"/>
      <c r="M269" s="394"/>
      <c r="N269" s="394"/>
      <c r="O269" s="394"/>
      <c r="P269" s="394"/>
      <c r="Q269" s="394"/>
      <c r="R269" s="394"/>
      <c r="S269" s="81">
        <f t="shared" ca="1" si="200"/>
        <v>2161.71072456399</v>
      </c>
      <c r="T269" s="108">
        <f t="shared" ca="1" si="197"/>
        <v>2501.4246509296572</v>
      </c>
      <c r="U269" s="108">
        <f t="shared" ca="1" si="198"/>
        <v>2635.2939518129806</v>
      </c>
      <c r="V269" s="108">
        <f t="shared" ca="1" si="199"/>
        <v>1688.1274973149993</v>
      </c>
    </row>
    <row r="270" spans="1:22" s="14" customFormat="1" ht="15" customHeight="1" x14ac:dyDescent="0.15">
      <c r="A270" s="75">
        <f ca="1">IFERROR(IF(AND(MAX($A$114:A269)&gt;A269+1, MAX($A$114:A269)&gt;20),0,IF(AND(D270="",G270=""),0,IF(OR(D270&gt;LimitSignB10, G270&gt;LimitSignB11),A269+1,0))),"")</f>
        <v>76</v>
      </c>
      <c r="B270" s="76">
        <f ca="1">IFERROR(MyTime(INDEX(INDIRECT("input!"&amp;$B$112&amp;":"&amp;$B$112),FirstRowInput+Integration*COUNT($B$114:B269)) )* $B$110,"")</f>
        <v>3302.0997119999997</v>
      </c>
      <c r="C270" s="77">
        <f ca="1">IFERROR(AVERAGE(INDEX(INDIRECT("input!" &amp; $C$112 &amp; ":" &amp; $C$112),FirstRowInput+Integration*COUNT($B$114:B269)):INDEX(INDIRECT("input!" &amp; $C$112 &amp; ":" &amp; $C$112),FirstRowInput+Integration*COUNT($B$114:B269)+Integration-1))*$C$110,"")</f>
        <v>20839.170824186393</v>
      </c>
      <c r="D270" s="77">
        <f ca="1">IFERROR(AVERAGE(INDEX(INDIRECT("input!" &amp; $D$112 &amp; ":" &amp; $D$112),FirstRowInput+Integration*COUNT($B$114:B269)):INDEX(INDIRECT("input!" &amp; $D$112 &amp; ":" &amp; $D$112),FirstRowInput+Integration*COUNT($B$114:B269)+Integration-1))*$D$110,"")</f>
        <v>1456405.4114730619</v>
      </c>
      <c r="E270" s="77">
        <f ca="1">IFERROR(AVERAGE(INDEX(INDIRECT("input!" &amp; $E$112 &amp; ":" &amp; $E$112),FirstRowInput+Integration*COUNT($B$114:B269)):INDEX(INDIRECT("input!" &amp; $E$112 &amp; ":" &amp; $E$112),FirstRowInput+Integration*COUNT($B$114:B269)+Integration-1))*$E$110,"")</f>
        <v>19358.299865456011</v>
      </c>
      <c r="F270" s="77">
        <f ca="1">IFERROR(AVERAGE(INDEX(INDIRECT("input!" &amp; $F$112 &amp; ":" &amp; $F$112),FirstRowInput+Integration*COUNT($B$114:B269)):INDEX(INDIRECT("input!" &amp; $F$112 &amp; ":" &amp; $F$112),FirstRowInput+Integration*COUNT($B$114:B269)+Integration-1))*$F$110,"")</f>
        <v>12427.23492059194</v>
      </c>
      <c r="G270" s="77">
        <f ca="1">IFERROR(AVERAGE(INDEX(INDIRECT("input!" &amp; $G$112 &amp; ":" &amp; $G$112),FirstRowInput+Integration*COUNT($B$114:B269)):INDEX(INDIRECT("input!" &amp; $G$112 &amp; ":" &amp; $G$112),FirstRowInput+Integration*COUNT($B$114:B269)+Integration-1))*$G$110,"")</f>
        <v>6580674.3307843823</v>
      </c>
      <c r="H270" s="77">
        <f ca="1">IFERROR(AVERAGE(INDEX(INDIRECT("input!" &amp; $H$112 &amp; ":" &amp; $H$112),FirstRowInput+Integration*COUNT($B$114:B269)):INDEX(INDIRECT("input!" &amp; $H$112 &amp; ":" &amp; $H$112),FirstRowInput+Integration*COUNT($B$114:B269)+Integration-1))*$H$110,"")</f>
        <v>13282.916162392656</v>
      </c>
      <c r="I270" s="42">
        <v>158</v>
      </c>
      <c r="J270" s="74" t="str">
        <f t="shared" si="196"/>
        <v/>
      </c>
      <c r="K270" s="183"/>
      <c r="L270" s="394"/>
      <c r="M270" s="394"/>
      <c r="N270" s="394"/>
      <c r="O270" s="394"/>
      <c r="P270" s="394"/>
      <c r="Q270" s="394"/>
      <c r="R270" s="394"/>
      <c r="S270" s="81">
        <f t="shared" ca="1" si="200"/>
        <v>-1675.0823857652413</v>
      </c>
      <c r="T270" s="108">
        <f t="shared" ca="1" si="197"/>
        <v>-332.58419187850814</v>
      </c>
      <c r="U270" s="108">
        <f t="shared" ca="1" si="198"/>
        <v>-2406.1414382554904</v>
      </c>
      <c r="V270" s="108">
        <f t="shared" ca="1" si="199"/>
        <v>-944.02333327499218</v>
      </c>
    </row>
    <row r="271" spans="1:22" s="14" customFormat="1" ht="15" customHeight="1" x14ac:dyDescent="0.15">
      <c r="A271" s="75">
        <f ca="1">IFERROR(IF(AND(MAX($A$114:A270)&gt;A270+1, MAX($A$114:A270)&gt;20),0,IF(AND(D271="",G271=""),0,IF(OR(D271&gt;LimitSignB10, G271&gt;LimitSignB11),A270+1,0))),"")</f>
        <v>77</v>
      </c>
      <c r="B271" s="76">
        <f ca="1">IFERROR(MyTime(INDEX(INDIRECT("input!"&amp;$B$112&amp;":"&amp;$B$112),FirstRowInput+Integration*COUNT($B$114:B270)) )* $B$110,"")</f>
        <v>3302.1675520000003</v>
      </c>
      <c r="C271" s="77">
        <f ca="1">IFERROR(AVERAGE(INDEX(INDIRECT("input!" &amp; $C$112 &amp; ":" &amp; $C$112),FirstRowInput+Integration*COUNT($B$114:B270)):INDEX(INDIRECT("input!" &amp; $C$112 &amp; ":" &amp; $C$112),FirstRowInput+Integration*COUNT($B$114:B270)+Integration-1))*$C$110,"")</f>
        <v>21922.800654781291</v>
      </c>
      <c r="D271" s="77">
        <f ca="1">IFERROR(AVERAGE(INDEX(INDIRECT("input!" &amp; $D$112 &amp; ":" &amp; $D$112),FirstRowInput+Integration*COUNT($B$114:B270)):INDEX(INDIRECT("input!" &amp; $D$112 &amp; ":" &amp; $D$112),FirstRowInput+Integration*COUNT($B$114:B270)+Integration-1))*$D$110,"")</f>
        <v>1458187.790484491</v>
      </c>
      <c r="E271" s="77">
        <f ca="1">IFERROR(AVERAGE(INDEX(INDIRECT("input!" &amp; $E$112 &amp; ":" &amp; $E$112),FirstRowInput+Integration*COUNT($B$114:B270)):INDEX(INDIRECT("input!" &amp; $E$112 &amp; ":" &amp; $E$112),FirstRowInput+Integration*COUNT($B$114:B270)+Integration-1))*$E$110,"")</f>
        <v>16392.676441634812</v>
      </c>
      <c r="F271" s="77">
        <f ca="1">IFERROR(AVERAGE(INDEX(INDIRECT("input!" &amp; $F$112 &amp; ":" &amp; $F$112),FirstRowInput+Integration*COUNT($B$114:B270)):INDEX(INDIRECT("input!" &amp; $F$112 &amp; ":" &amp; $F$112),FirstRowInput+Integration*COUNT($B$114:B270)+Integration-1))*$F$110,"")</f>
        <v>9272.9108791331364</v>
      </c>
      <c r="G271" s="77">
        <f ca="1">IFERROR(AVERAGE(INDEX(INDIRECT("input!" &amp; $G$112 &amp; ":" &amp; $G$112),FirstRowInput+Integration*COUNT($B$114:B270)):INDEX(INDIRECT("input!" &amp; $G$112 &amp; ":" &amp; $G$112),FirstRowInput+Integration*COUNT($B$114:B270)+Integration-1))*$G$110,"")</f>
        <v>6585177.8282084502</v>
      </c>
      <c r="H271" s="77">
        <f ca="1">IFERROR(AVERAGE(INDEX(INDIRECT("input!" &amp; $H$112 &amp; ":" &amp; $H$112),FirstRowInput+Integration*COUNT($B$114:B270)):INDEX(INDIRECT("input!" &amp; $H$112 &amp; ":" &amp; $H$112),FirstRowInput+Integration*COUNT($B$114:B270)+Integration-1))*$H$110,"")</f>
        <v>12339.46176404317</v>
      </c>
      <c r="I271" s="42">
        <v>159</v>
      </c>
      <c r="J271" s="74" t="str">
        <f t="shared" si="196"/>
        <v/>
      </c>
      <c r="K271" s="183"/>
      <c r="L271" s="394"/>
      <c r="M271" s="394"/>
      <c r="N271" s="394"/>
      <c r="O271" s="394"/>
      <c r="P271" s="394"/>
      <c r="Q271" s="394"/>
      <c r="R271" s="394"/>
      <c r="S271" s="81">
        <f t="shared" ca="1" si="200"/>
        <v>-3600.9850475644198</v>
      </c>
      <c r="T271" s="108">
        <f t="shared" ca="1" si="197"/>
        <v>-722.92257518613042</v>
      </c>
      <c r="U271" s="108">
        <f t="shared" ca="1" si="198"/>
        <v>-6836.9679322659376</v>
      </c>
      <c r="V271" s="108">
        <f t="shared" ca="1" si="199"/>
        <v>-365.00216286290197</v>
      </c>
    </row>
    <row r="272" spans="1:22" s="14" customFormat="1" ht="15" customHeight="1" x14ac:dyDescent="0.15">
      <c r="A272" s="75">
        <f ca="1">IFERROR(IF(AND(MAX($A$114:A271)&gt;A271+1, MAX($A$114:A271)&gt;20),0,IF(AND(D272="",G272=""),0,IF(OR(D272&gt;LimitSignB10, G272&gt;LimitSignB11),A271+1,0))),"")</f>
        <v>78</v>
      </c>
      <c r="B272" s="76">
        <f ca="1">IFERROR(MyTime(INDEX(INDIRECT("input!"&amp;$B$112&amp;":"&amp;$B$112),FirstRowInput+Integration*COUNT($B$114:B271)) )* $B$110,"")</f>
        <v>3302.2356480000003</v>
      </c>
      <c r="C272" s="77">
        <f ca="1">IFERROR(AVERAGE(INDEX(INDIRECT("input!" &amp; $C$112 &amp; ":" &amp; $C$112),FirstRowInput+Integration*COUNT($B$114:B271)):INDEX(INDIRECT("input!" &amp; $C$112 &amp; ":" &amp; $C$112),FirstRowInput+Integration*COUNT($B$114:B271)+Integration-1))*$C$110,"")</f>
        <v>19382.582973950975</v>
      </c>
      <c r="D272" s="77">
        <f ca="1">IFERROR(AVERAGE(INDEX(INDIRECT("input!" &amp; $D$112 &amp; ":" &amp; $D$112),FirstRowInput+Integration*COUNT($B$114:B271)):INDEX(INDIRECT("input!" &amp; $D$112 &amp; ":" &amp; $D$112),FirstRowInput+Integration*COUNT($B$114:B271)+Integration-1))*$D$110,"")</f>
        <v>1455955.9431739857</v>
      </c>
      <c r="E272" s="77">
        <f ca="1">IFERROR(AVERAGE(INDEX(INDIRECT("input!" &amp; $E$112 &amp; ":" &amp; $E$112),FirstRowInput+Integration*COUNT($B$114:B271)):INDEX(INDIRECT("input!" &amp; $E$112 &amp; ":" &amp; $E$112),FirstRowInput+Integration*COUNT($B$114:B271)+Integration-1))*$E$110,"")</f>
        <v>18577.62309884077</v>
      </c>
      <c r="F272" s="77">
        <f ca="1">IFERROR(AVERAGE(INDEX(INDIRECT("input!" &amp; $F$112 &amp; ":" &amp; $F$112),FirstRowInput+Integration*COUNT($B$114:B271)):INDEX(INDIRECT("input!" &amp; $F$112 &amp; ":" &amp; $F$112),FirstRowInput+Integration*COUNT($B$114:B271)+Integration-1))*$F$110,"")</f>
        <v>3254.8247797514282</v>
      </c>
      <c r="G272" s="77">
        <f ca="1">IFERROR(AVERAGE(INDEX(INDIRECT("input!" &amp; $G$112 &amp; ":" &amp; $G$112),FirstRowInput+Integration*COUNT($B$114:B271)):INDEX(INDIRECT("input!" &amp; $G$112 &amp; ":" &amp; $G$112),FirstRowInput+Integration*COUNT($B$114:B271)+Integration-1))*$G$110,"")</f>
        <v>6590760.6072558435</v>
      </c>
      <c r="H272" s="77">
        <f ca="1">IFERROR(AVERAGE(INDEX(INDIRECT("input!" &amp; $H$112 &amp; ":" &amp; $H$112),FirstRowInput+Integration*COUNT($B$114:B271)):INDEX(INDIRECT("input!" &amp; $H$112 &amp; ":" &amp; $H$112),FirstRowInput+Integration*COUNT($B$114:B271)+Integration-1))*$H$110,"")</f>
        <v>4741.2799611377495</v>
      </c>
      <c r="I272" s="42">
        <v>160</v>
      </c>
      <c r="J272" s="74" t="str">
        <f t="shared" si="196"/>
        <v/>
      </c>
      <c r="K272" s="183"/>
      <c r="L272" s="394"/>
      <c r="M272" s="394"/>
      <c r="N272" s="394"/>
      <c r="O272" s="394"/>
      <c r="P272" s="394"/>
      <c r="Q272" s="394"/>
      <c r="R272" s="394"/>
      <c r="S272" s="81">
        <f t="shared" ca="1" si="200"/>
        <v>-2391.7501776711579</v>
      </c>
      <c r="T272" s="108">
        <f t="shared" ca="1" si="197"/>
        <v>1283.4948102335838</v>
      </c>
      <c r="U272" s="108">
        <f t="shared" ca="1" si="198"/>
        <v>-5650.9797360206176</v>
      </c>
      <c r="V272" s="108">
        <f t="shared" ca="1" si="199"/>
        <v>867.47938067830182</v>
      </c>
    </row>
    <row r="273" spans="1:22" s="14" customFormat="1" ht="15" customHeight="1" x14ac:dyDescent="0.15">
      <c r="A273" s="75">
        <f ca="1">IFERROR(IF(AND(MAX($A$114:A272)&gt;A272+1, MAX($A$114:A272)&gt;20),0,IF(AND(D273="",G273=""),0,IF(OR(D273&gt;LimitSignB10, G273&gt;LimitSignB11),A272+1,0))),"")</f>
        <v>79</v>
      </c>
      <c r="B273" s="76">
        <f ca="1">IFERROR(MyTime(INDEX(INDIRECT("input!"&amp;$B$112&amp;":"&amp;$B$112),FirstRowInput+Integration*COUNT($B$114:B272)) )* $B$110,"")</f>
        <v>3302.3037439999998</v>
      </c>
      <c r="C273" s="77">
        <f ca="1">IFERROR(AVERAGE(INDEX(INDIRECT("input!" &amp; $C$112 &amp; ":" &amp; $C$112),FirstRowInput+Integration*COUNT($B$114:B272)):INDEX(INDIRECT("input!" &amp; $C$112 &amp; ":" &amp; $C$112),FirstRowInput+Integration*COUNT($B$114:B272)+Integration-1))*$C$110,"")</f>
        <v>17957.553458494604</v>
      </c>
      <c r="D273" s="77">
        <f ca="1">IFERROR(AVERAGE(INDEX(INDIRECT("input!" &amp; $D$112 &amp; ":" &amp; $D$112),FirstRowInput+Integration*COUNT($B$114:B272)):INDEX(INDIRECT("input!" &amp; $D$112 &amp; ":" &amp; $D$112),FirstRowInput+Integration*COUNT($B$114:B272)+Integration-1))*$D$110,"")</f>
        <v>1458424.3083083231</v>
      </c>
      <c r="E273" s="77">
        <f ca="1">IFERROR(AVERAGE(INDEX(INDIRECT("input!" &amp; $E$112 &amp; ":" &amp; $E$112),FirstRowInput+Integration*COUNT($B$114:B272)):INDEX(INDIRECT("input!" &amp; $E$112 &amp; ":" &amp; $E$112),FirstRowInput+Integration*COUNT($B$114:B272)+Integration-1))*$E$110,"")</f>
        <v>20405.511212474234</v>
      </c>
      <c r="F273" s="77">
        <f ca="1">IFERROR(AVERAGE(INDEX(INDIRECT("input!" &amp; $F$112 &amp; ":" &amp; $F$112),FirstRowInput+Integration*COUNT($B$114:B272)):INDEX(INDIRECT("input!" &amp; $F$112 &amp; ":" &amp; $F$112),FirstRowInput+Integration*COUNT($B$114:B272)+Integration-1))*$F$110,"")</f>
        <v>-865.24456143940461</v>
      </c>
      <c r="G273" s="77">
        <f ca="1">IFERROR(AVERAGE(INDEX(INDIRECT("input!" &amp; $G$112 &amp; ":" &amp; $G$112),FirstRowInput+Integration*COUNT($B$114:B272)):INDEX(INDIRECT("input!" &amp; $G$112 &amp; ":" &amp; $G$112),FirstRowInput+Integration*COUNT($B$114:B272)+Integration-1))*$G$110,"")</f>
        <v>6603557.1263090838</v>
      </c>
      <c r="H273" s="77">
        <f ca="1">IFERROR(AVERAGE(INDEX(INDIRECT("input!" &amp; $H$112 &amp; ":" &amp; $H$112),FirstRowInput+Integration*COUNT($B$114:B272)):INDEX(INDIRECT("input!" &amp; $H$112 &amp; ":" &amp; $H$112),FirstRowInput+Integration*COUNT($B$114:B272)+Integration-1))*$H$110,"")</f>
        <v>15019.979673628925</v>
      </c>
      <c r="I273" s="42">
        <v>161</v>
      </c>
      <c r="J273" s="74" t="str">
        <f t="shared" si="196"/>
        <v/>
      </c>
      <c r="K273" s="183"/>
      <c r="L273" s="394"/>
      <c r="M273" s="394"/>
      <c r="N273" s="394"/>
      <c r="O273" s="394"/>
      <c r="P273" s="394"/>
      <c r="Q273" s="394"/>
      <c r="R273" s="394"/>
      <c r="S273" s="81">
        <f t="shared" ca="1" si="200"/>
        <v>533.83189273170683</v>
      </c>
      <c r="T273" s="108">
        <f t="shared" ca="1" si="197"/>
        <v>909.09085084965409</v>
      </c>
      <c r="U273" s="108">
        <f t="shared" ca="1" si="198"/>
        <v>-610.44825336609574</v>
      </c>
      <c r="V273" s="108">
        <f t="shared" ca="1" si="199"/>
        <v>1678.1120388295094</v>
      </c>
    </row>
    <row r="274" spans="1:22" s="14" customFormat="1" ht="15" customHeight="1" x14ac:dyDescent="0.15">
      <c r="A274" s="75">
        <f ca="1">IFERROR(IF(AND(MAX($A$114:A273)&gt;A273+1, MAX($A$114:A273)&gt;20),0,IF(AND(D274="",G274=""),0,IF(OR(D274&gt;LimitSignB10, G274&gt;LimitSignB11),A273+1,0))),"")</f>
        <v>80</v>
      </c>
      <c r="B274" s="76">
        <f ca="1">IFERROR(MyTime(INDEX(INDIRECT("input!"&amp;$B$112&amp;":"&amp;$B$112),FirstRowInput+Integration*COUNT($B$114:B273)) )* $B$110,"")</f>
        <v>3302.3718399999998</v>
      </c>
      <c r="C274" s="77">
        <f ca="1">IFERROR(AVERAGE(INDEX(INDIRECT("input!" &amp; $C$112 &amp; ":" &amp; $C$112),FirstRowInput+Integration*COUNT($B$114:B273)):INDEX(INDIRECT("input!" &amp; $C$112 &amp; ":" &amp; $C$112),FirstRowInput+Integration*COUNT($B$114:B273)+Integration-1))*$C$110,"")</f>
        <v>22280.166575998657</v>
      </c>
      <c r="D274" s="77">
        <f ca="1">IFERROR(AVERAGE(INDEX(INDIRECT("input!" &amp; $D$112 &amp; ":" &amp; $D$112),FirstRowInput+Integration*COUNT($B$114:B273)):INDEX(INDIRECT("input!" &amp; $D$112 &amp; ":" &amp; $D$112),FirstRowInput+Integration*COUNT($B$114:B273)+Integration-1))*$D$110,"")</f>
        <v>1450246.6660988904</v>
      </c>
      <c r="E274" s="77">
        <f ca="1">IFERROR(AVERAGE(INDEX(INDIRECT("input!" &amp; $E$112 &amp; ":" &amp; $E$112),FirstRowInput+Integration*COUNT($B$114:B273)):INDEX(INDIRECT("input!" &amp; $E$112 &amp; ":" &amp; $E$112),FirstRowInput+Integration*COUNT($B$114:B273)+Integration-1))*$E$110,"")</f>
        <v>17828.815180072914</v>
      </c>
      <c r="F274" s="77">
        <f ca="1">IFERROR(AVERAGE(INDEX(INDIRECT("input!" &amp; $F$112 &amp; ":" &amp; $F$112),FirstRowInput+Integration*COUNT($B$114:B273)):INDEX(INDIRECT("input!" &amp; $F$112 &amp; ":" &amp; $F$112),FirstRowInput+Integration*COUNT($B$114:B273)+Integration-1))*$F$110,"")</f>
        <v>12830.875467869098</v>
      </c>
      <c r="G274" s="77">
        <f ca="1">IFERROR(AVERAGE(INDEX(INDIRECT("input!" &amp; $G$112 &amp; ":" &amp; $G$112),FirstRowInput+Integration*COUNT($B$114:B273)):INDEX(INDIRECT("input!" &amp; $G$112 &amp; ":" &amp; $G$112),FirstRowInput+Integration*COUNT($B$114:B273)+Integration-1))*$G$110,"")</f>
        <v>6550847.044759742</v>
      </c>
      <c r="H274" s="77">
        <f ca="1">IFERROR(AVERAGE(INDEX(INDIRECT("input!" &amp; $H$112 &amp; ":" &amp; $H$112),FirstRowInput+Integration*COUNT($B$114:B273)):INDEX(INDIRECT("input!" &amp; $H$112 &amp; ":" &amp; $H$112),FirstRowInput+Integration*COUNT($B$114:B273)+Integration-1))*$H$110,"")</f>
        <v>16036.906394666788</v>
      </c>
      <c r="I274" s="42">
        <v>162</v>
      </c>
      <c r="J274" s="74" t="str">
        <f t="shared" si="196"/>
        <v/>
      </c>
      <c r="K274" s="183"/>
      <c r="L274" s="394"/>
      <c r="M274" s="394"/>
      <c r="N274" s="394"/>
      <c r="O274" s="394"/>
      <c r="P274" s="394"/>
      <c r="Q274" s="394"/>
      <c r="R274" s="394"/>
      <c r="S274" s="81">
        <f t="shared" ca="1" si="200"/>
        <v>3689.2056022089018</v>
      </c>
      <c r="T274" s="108">
        <f t="shared" ca="1" si="197"/>
        <v>-434.95820165153418</v>
      </c>
      <c r="U274" s="108">
        <f t="shared" ca="1" si="198"/>
        <v>6140.2042117781712</v>
      </c>
      <c r="V274" s="108">
        <f t="shared" ca="1" si="199"/>
        <v>1238.2069926396325</v>
      </c>
    </row>
    <row r="275" spans="1:22" s="14" customFormat="1" ht="15" customHeight="1" x14ac:dyDescent="0.15">
      <c r="A275" s="75">
        <f ca="1">IFERROR(IF(AND(MAX($A$114:A274)&gt;A274+1, MAX($A$114:A274)&gt;20),0,IF(AND(D275="",G275=""),0,IF(OR(D275&gt;LimitSignB10, G275&gt;LimitSignB11),A274+1,0))),"")</f>
        <v>81</v>
      </c>
      <c r="B275" s="76">
        <f ca="1">IFERROR(MyTime(INDEX(INDIRECT("input!"&amp;$B$112&amp;":"&amp;$B$112),FirstRowInput+Integration*COUNT($B$114:B274)) )* $B$110,"")</f>
        <v>3302.4399360000002</v>
      </c>
      <c r="C275" s="77">
        <f ca="1">IFERROR(AVERAGE(INDEX(INDIRECT("input!" &amp; $C$112 &amp; ":" &amp; $C$112),FirstRowInput+Integration*COUNT($B$114:B274)):INDEX(INDIRECT("input!" &amp; $C$112 &amp; ":" &amp; $C$112),FirstRowInput+Integration*COUNT($B$114:B274)+Integration-1))*$C$110,"")</f>
        <v>21684.236836380584</v>
      </c>
      <c r="D275" s="77">
        <f ca="1">IFERROR(AVERAGE(INDEX(INDIRECT("input!" &amp; $D$112 &amp; ":" &amp; $D$112),FirstRowInput+Integration*COUNT($B$114:B274)):INDEX(INDIRECT("input!" &amp; $D$112 &amp; ":" &amp; $D$112),FirstRowInput+Integration*COUNT($B$114:B274)+Integration-1))*$D$110,"")</f>
        <v>1447416.774926017</v>
      </c>
      <c r="E275" s="77">
        <f ca="1">IFERROR(AVERAGE(INDEX(INDIRECT("input!" &amp; $E$112 &amp; ":" &amp; $E$112),FirstRowInput+Integration*COUNT($B$114:B274)):INDEX(INDIRECT("input!" &amp; $E$112 &amp; ":" &amp; $E$112),FirstRowInput+Integration*COUNT($B$114:B274)+Integration-1))*$E$110,"")</f>
        <v>17717.413107471853</v>
      </c>
      <c r="F275" s="77">
        <f ca="1">IFERROR(AVERAGE(INDEX(INDIRECT("input!" &amp; $F$112 &amp; ":" &amp; $F$112),FirstRowInput+Integration*COUNT($B$114:B274)):INDEX(INDIRECT("input!" &amp; $F$112 &amp; ":" &amp; $F$112),FirstRowInput+Integration*COUNT($B$114:B274)+Integration-1))*$F$110,"")</f>
        <v>18376.419227714992</v>
      </c>
      <c r="G275" s="77">
        <f ca="1">IFERROR(AVERAGE(INDEX(INDIRECT("input!" &amp; $G$112 &amp; ":" &amp; $G$112),FirstRowInput+Integration*COUNT($B$114:B274)):INDEX(INDIRECT("input!" &amp; $G$112 &amp; ":" &amp; $G$112),FirstRowInput+Integration*COUNT($B$114:B274)+Integration-1))*$G$110,"")</f>
        <v>6534933.4553590463</v>
      </c>
      <c r="H275" s="77">
        <f ca="1">IFERROR(AVERAGE(INDEX(INDIRECT("input!" &amp; $H$112 &amp; ":" &amp; $H$112),FirstRowInput+Integration*COUNT($B$114:B274)):INDEX(INDIRECT("input!" &amp; $H$112 &amp; ":" &amp; $H$112),FirstRowInput+Integration*COUNT($B$114:B274)+Integration-1))*$H$110,"")</f>
        <v>7173.1779355913668</v>
      </c>
      <c r="I275" s="42">
        <v>163</v>
      </c>
      <c r="J275" s="74" t="str">
        <f t="shared" si="196"/>
        <v/>
      </c>
      <c r="K275" s="183"/>
      <c r="L275" s="394"/>
      <c r="M275" s="394"/>
      <c r="N275" s="394"/>
      <c r="O275" s="394"/>
      <c r="P275" s="394"/>
      <c r="Q275" s="394"/>
      <c r="R275" s="394"/>
      <c r="S275" s="81">
        <f t="shared" ca="1" si="200"/>
        <v>1111.6907318374911</v>
      </c>
      <c r="T275" s="108">
        <f t="shared" ca="1" si="197"/>
        <v>1152.6771115377087</v>
      </c>
      <c r="U275" s="108">
        <f t="shared" ca="1" si="198"/>
        <v>5305.7703395447134</v>
      </c>
      <c r="V275" s="108">
        <f t="shared" ca="1" si="199"/>
        <v>-3082.3888758697312</v>
      </c>
    </row>
    <row r="276" spans="1:22" s="14" customFormat="1" ht="15" customHeight="1" x14ac:dyDescent="0.15">
      <c r="A276" s="75">
        <f ca="1">IFERROR(IF(AND(MAX($A$114:A275)&gt;A275+1, MAX($A$114:A275)&gt;20),0,IF(AND(D276="",G276=""),0,IF(OR(D276&gt;LimitSignB10, G276&gt;LimitSignB11),A275+1,0))),"")</f>
        <v>82</v>
      </c>
      <c r="B276" s="76">
        <f ca="1">IFERROR(MyTime(INDEX(INDIRECT("input!"&amp;$B$112&amp;":"&amp;$B$112),FirstRowInput+Integration*COUNT($B$114:B275)) )* $B$110,"")</f>
        <v>3302.5077759999999</v>
      </c>
      <c r="C276" s="77">
        <f ca="1">IFERROR(AVERAGE(INDEX(INDIRECT("input!" &amp; $C$112 &amp; ":" &amp; $C$112),FirstRowInput+Integration*COUNT($B$114:B275)):INDEX(INDIRECT("input!" &amp; $C$112 &amp; ":" &amp; $C$112),FirstRowInput+Integration*COUNT($B$114:B275)+Integration-1))*$C$110,"")</f>
        <v>19005.77521728132</v>
      </c>
      <c r="D276" s="77">
        <f ca="1">IFERROR(AVERAGE(INDEX(INDIRECT("input!" &amp; $D$112 &amp; ":" &amp; $D$112),FirstRowInput+Integration*COUNT($B$114:B275)):INDEX(INDIRECT("input!" &amp; $D$112 &amp; ":" &amp; $D$112),FirstRowInput+Integration*COUNT($B$114:B275)+Integration-1))*$D$110,"")</f>
        <v>1442685.6541241787</v>
      </c>
      <c r="E276" s="77">
        <f ca="1">IFERROR(AVERAGE(INDEX(INDIRECT("input!" &amp; $E$112 &amp; ":" &amp; $E$112),FirstRowInput+Integration*COUNT($B$114:B275)):INDEX(INDIRECT("input!" &amp; $E$112 &amp; ":" &amp; $E$112),FirstRowInput+Integration*COUNT($B$114:B275)+Integration-1))*$E$110,"")</f>
        <v>21004.085806451403</v>
      </c>
      <c r="F276" s="77">
        <f ca="1">IFERROR(AVERAGE(INDEX(INDIRECT("input!" &amp; $F$112 &amp; ":" &amp; $F$112),FirstRowInput+Integration*COUNT($B$114:B275)):INDEX(INDIRECT("input!" &amp; $F$112 &amp; ":" &amp; $F$112),FirstRowInput+Integration*COUNT($B$114:B275)+Integration-1))*$F$110,"")</f>
        <v>19386.712833993399</v>
      </c>
      <c r="G276" s="77">
        <f ca="1">IFERROR(AVERAGE(INDEX(INDIRECT("input!" &amp; $G$112 &amp; ":" &amp; $G$112),FirstRowInput+Integration*COUNT($B$114:B275)):INDEX(INDIRECT("input!" &amp; $G$112 &amp; ":" &amp; $G$112),FirstRowInput+Integration*COUNT($B$114:B275)+Integration-1))*$G$110,"")</f>
        <v>6516017.0670351116</v>
      </c>
      <c r="H276" s="77">
        <f ca="1">IFERROR(AVERAGE(INDEX(INDIRECT("input!" &amp; $H$112 &amp; ":" &amp; $H$112),FirstRowInput+Integration*COUNT($B$114:B275)):INDEX(INDIRECT("input!" &amp; $H$112 &amp; ":" &amp; $H$112),FirstRowInput+Integration*COUNT($B$114:B275)+Integration-1))*$H$110,"")</f>
        <v>13700.264535059296</v>
      </c>
      <c r="I276" s="42">
        <v>164</v>
      </c>
      <c r="J276" s="74" t="str">
        <f t="shared" si="196"/>
        <v/>
      </c>
      <c r="K276" s="183"/>
      <c r="L276" s="394"/>
      <c r="M276" s="394"/>
      <c r="N276" s="394"/>
      <c r="O276" s="394"/>
      <c r="P276" s="394"/>
      <c r="Q276" s="394"/>
      <c r="R276" s="394"/>
      <c r="S276" s="81">
        <f t="shared" ca="1" si="200"/>
        <v>412.28767194807097</v>
      </c>
      <c r="T276" s="108">
        <f t="shared" ca="1" si="197"/>
        <v>1241.7470741535653</v>
      </c>
      <c r="U276" s="108">
        <f t="shared" ca="1" si="198"/>
        <v>721.11723226291178</v>
      </c>
      <c r="V276" s="108">
        <f t="shared" ca="1" si="199"/>
        <v>103.45811163323015</v>
      </c>
    </row>
    <row r="277" spans="1:22" s="14" customFormat="1" ht="15" customHeight="1" x14ac:dyDescent="0.15">
      <c r="A277" s="75">
        <f ca="1">IFERROR(IF(AND(MAX($A$114:A276)&gt;A276+1, MAX($A$114:A276)&gt;20),0,IF(AND(D277="",G277=""),0,IF(OR(D277&gt;LimitSignB10, G277&gt;LimitSignB11),A276+1,0))),"")</f>
        <v>83</v>
      </c>
      <c r="B277" s="76">
        <f ca="1">IFERROR(MyTime(INDEX(INDIRECT("input!"&amp;$B$112&amp;":"&amp;$B$112),FirstRowInput+Integration*COUNT($B$114:B276)) )* $B$110,"")</f>
        <v>3302.5758719999999</v>
      </c>
      <c r="C277" s="77">
        <f ca="1">IFERROR(AVERAGE(INDEX(INDIRECT("input!" &amp; $C$112 &amp; ":" &amp; $C$112),FirstRowInput+Integration*COUNT($B$114:B276)):INDEX(INDIRECT("input!" &amp; $C$112 &amp; ":" &amp; $C$112),FirstRowInput+Integration*COUNT($B$114:B276)+Integration-1))*$C$110,"")</f>
        <v>17414.30640397987</v>
      </c>
      <c r="D277" s="77">
        <f ca="1">IFERROR(AVERAGE(INDEX(INDIRECT("input!" &amp; $D$112 &amp; ":" &amp; $D$112),FirstRowInput+Integration*COUNT($B$114:B276)):INDEX(INDIRECT("input!" &amp; $D$112 &amp; ":" &amp; $D$112),FirstRowInput+Integration*COUNT($B$114:B276)+Integration-1))*$D$110,"")</f>
        <v>1432956.3489359415</v>
      </c>
      <c r="E277" s="77">
        <f ca="1">IFERROR(AVERAGE(INDEX(INDIRECT("input!" &amp; $E$112 &amp; ":" &amp; $E$112),FirstRowInput+Integration*COUNT($B$114:B276)):INDEX(INDIRECT("input!" &amp; $E$112 &amp; ":" &amp; $E$112),FirstRowInput+Integration*COUNT($B$114:B276)+Integration-1))*$E$110,"")</f>
        <v>17895.55303270357</v>
      </c>
      <c r="F277" s="77">
        <f ca="1">IFERROR(AVERAGE(INDEX(INDIRECT("input!" &amp; $F$112 &amp; ":" &amp; $F$112),FirstRowInput+Integration*COUNT($B$114:B276)):INDEX(INDIRECT("input!" &amp; $F$112 &amp; ":" &amp; $F$112),FirstRowInput+Integration*COUNT($B$114:B276)+Integration-1))*$F$110,"")</f>
        <v>10327.573851168725</v>
      </c>
      <c r="G277" s="77">
        <f ca="1">IFERROR(AVERAGE(INDEX(INDIRECT("input!" &amp; $G$112 &amp; ":" &amp; $G$112),FirstRowInput+Integration*COUNT($B$114:B276)):INDEX(INDIRECT("input!" &amp; $G$112 &amp; ":" &amp; $G$112),FirstRowInput+Integration*COUNT($B$114:B276)+Integration-1))*$G$110,"")</f>
        <v>6470560.8059005681</v>
      </c>
      <c r="H277" s="77">
        <f ca="1">IFERROR(AVERAGE(INDEX(INDIRECT("input!" &amp; $H$112 &amp; ":" &amp; $H$112),FirstRowInput+Integration*COUNT($B$114:B276)):INDEX(INDIRECT("input!" &amp; $H$112 &amp; ":" &amp; $H$112),FirstRowInput+Integration*COUNT($B$114:B276)+Integration-1))*$H$110,"")</f>
        <v>3075.1187891386935</v>
      </c>
      <c r="I277" s="42">
        <v>165</v>
      </c>
      <c r="J277" s="74" t="str">
        <f t="shared" si="196"/>
        <v/>
      </c>
      <c r="K277" s="183"/>
      <c r="L277" s="394"/>
      <c r="M277" s="394"/>
      <c r="N277" s="394"/>
      <c r="O277" s="394"/>
      <c r="P277" s="394"/>
      <c r="Q277" s="394"/>
      <c r="R277" s="394"/>
      <c r="S277" s="81">
        <f t="shared" ca="1" si="200"/>
        <v>-206.40862114441643</v>
      </c>
      <c r="T277" s="108">
        <f t="shared" ca="1" si="197"/>
        <v>-138.04481868181028</v>
      </c>
      <c r="U277" s="108">
        <f t="shared" ca="1" si="198"/>
        <v>-409.23932112103466</v>
      </c>
      <c r="V277" s="108">
        <f t="shared" ca="1" si="199"/>
        <v>-3.5779211677981948</v>
      </c>
    </row>
    <row r="278" spans="1:22" s="14" customFormat="1" ht="15" customHeight="1" x14ac:dyDescent="0.15">
      <c r="A278" s="75">
        <f ca="1">IFERROR(IF(AND(MAX($A$114:A277)&gt;A277+1, MAX($A$114:A277)&gt;20),0,IF(AND(D278="",G278=""),0,IF(OR(D278&gt;LimitSignB10, G278&gt;LimitSignB11),A277+1,0))),"")</f>
        <v>84</v>
      </c>
      <c r="B278" s="76">
        <f ca="1">IFERROR(MyTime(INDEX(INDIRECT("input!"&amp;$B$112&amp;":"&amp;$B$112),FirstRowInput+Integration*COUNT($B$114:B277)) )* $B$110,"")</f>
        <v>3302.6439679999999</v>
      </c>
      <c r="C278" s="77">
        <f ca="1">IFERROR(AVERAGE(INDEX(INDIRECT("input!" &amp; $C$112 &amp; ":" &amp; $C$112),FirstRowInput+Integration*COUNT($B$114:B277)):INDEX(INDIRECT("input!" &amp; $C$112 &amp; ":" &amp; $C$112),FirstRowInput+Integration*COUNT($B$114:B277)+Integration-1))*$C$110,"")</f>
        <v>21932.060944564182</v>
      </c>
      <c r="D278" s="77">
        <f ca="1">IFERROR(AVERAGE(INDEX(INDIRECT("input!" &amp; $D$112 &amp; ":" &amp; $D$112),FirstRowInput+Integration*COUNT($B$114:B277)):INDEX(INDIRECT("input!" &amp; $D$112 &amp; ":" &amp; $D$112),FirstRowInput+Integration*COUNT($B$114:B277)+Integration-1))*$D$110,"")</f>
        <v>1420130.9556664089</v>
      </c>
      <c r="E278" s="77">
        <f ca="1">IFERROR(AVERAGE(INDEX(INDIRECT("input!" &amp; $E$112 &amp; ":" &amp; $E$112),FirstRowInput+Integration*COUNT($B$114:B277)):INDEX(INDIRECT("input!" &amp; $E$112 &amp; ":" &amp; $E$112),FirstRowInput+Integration*COUNT($B$114:B277)+Integration-1))*$E$110,"")</f>
        <v>18244.502020780652</v>
      </c>
      <c r="F278" s="77">
        <f ca="1">IFERROR(AVERAGE(INDEX(INDIRECT("input!" &amp; $F$112 &amp; ":" &amp; $F$112),FirstRowInput+Integration*COUNT($B$114:B277)):INDEX(INDIRECT("input!" &amp; $F$112 &amp; ":" &amp; $F$112),FirstRowInput+Integration*COUNT($B$114:B277)+Integration-1))*$F$110,"")</f>
        <v>4622.4599058695931</v>
      </c>
      <c r="G278" s="77">
        <f ca="1">IFERROR(AVERAGE(INDEX(INDIRECT("input!" &amp; $G$112 &amp; ":" &amp; $G$112),FirstRowInput+Integration*COUNT($B$114:B277)):INDEX(INDIRECT("input!" &amp; $G$112 &amp; ":" &amp; $G$112),FirstRowInput+Integration*COUNT($B$114:B277)+Integration-1))*$G$110,"")</f>
        <v>6428285.5632956065</v>
      </c>
      <c r="H278" s="77">
        <f ca="1">IFERROR(AVERAGE(INDEX(INDIRECT("input!" &amp; $H$112 &amp; ":" &amp; $H$112),FirstRowInput+Integration*COUNT($B$114:B277)):INDEX(INDIRECT("input!" &amp; $H$112 &amp; ":" &amp; $H$112),FirstRowInput+Integration*COUNT($B$114:B277)+Integration-1))*$H$110,"")</f>
        <v>16730.718898100251</v>
      </c>
      <c r="I278" s="42">
        <v>166</v>
      </c>
      <c r="J278" s="74" t="str">
        <f t="shared" si="196"/>
        <v/>
      </c>
      <c r="K278" s="183"/>
      <c r="L278" s="394"/>
      <c r="M278" s="394"/>
      <c r="N278" s="394"/>
      <c r="O278" s="394"/>
      <c r="P278" s="394"/>
      <c r="Q278" s="394"/>
      <c r="R278" s="394"/>
      <c r="S278" s="81">
        <f t="shared" ca="1" si="200"/>
        <v>1073.8039344016161</v>
      </c>
      <c r="T278" s="108">
        <f t="shared" ca="1" si="197"/>
        <v>559.20918087444443</v>
      </c>
      <c r="U278" s="108">
        <f t="shared" ca="1" si="198"/>
        <v>241.34589609317845</v>
      </c>
      <c r="V278" s="108">
        <f t="shared" ca="1" si="199"/>
        <v>1906.2619727100537</v>
      </c>
    </row>
    <row r="279" spans="1:22" s="14" customFormat="1" ht="15" customHeight="1" x14ac:dyDescent="0.15">
      <c r="A279" s="75">
        <f ca="1">IFERROR(IF(AND(MAX($A$114:A278)&gt;A278+1, MAX($A$114:A278)&gt;20),0,IF(AND(D279="",G279=""),0,IF(OR(D279&gt;LimitSignB10, G279&gt;LimitSignB11),A278+1,0))),"")</f>
        <v>85</v>
      </c>
      <c r="B279" s="76">
        <f ca="1">IFERROR(MyTime(INDEX(INDIRECT("input!"&amp;$B$112&amp;":"&amp;$B$112),FirstRowInput+Integration*COUNT($B$114:B278)) )* $B$110,"")</f>
        <v>3302.7120639999998</v>
      </c>
      <c r="C279" s="77">
        <f ca="1">IFERROR(AVERAGE(INDEX(INDIRECT("input!" &amp; $C$112 &amp; ":" &amp; $C$112),FirstRowInput+Integration*COUNT($B$114:B278)):INDEX(INDIRECT("input!" &amp; $C$112 &amp; ":" &amp; $C$112),FirstRowInput+Integration*COUNT($B$114:B278)+Integration-1))*$C$110,"")</f>
        <v>21515.205277233221</v>
      </c>
      <c r="D279" s="77">
        <f ca="1">IFERROR(AVERAGE(INDEX(INDIRECT("input!" &amp; $D$112 &amp; ":" &amp; $D$112),FirstRowInput+Integration*COUNT($B$114:B278)):INDEX(INDIRECT("input!" &amp; $D$112 &amp; ":" &amp; $D$112),FirstRowInput+Integration*COUNT($B$114:B278)+Integration-1))*$D$110,"")</f>
        <v>1401032.4385646721</v>
      </c>
      <c r="E279" s="77">
        <f ca="1">IFERROR(AVERAGE(INDEX(INDIRECT("input!" &amp; $E$112 &amp; ":" &amp; $E$112),FirstRowInput+Integration*COUNT($B$114:B278)):INDEX(INDIRECT("input!" &amp; $E$112 &amp; ":" &amp; $E$112),FirstRowInput+Integration*COUNT($B$114:B278)+Integration-1))*$E$110,"")</f>
        <v>19290.06103181608</v>
      </c>
      <c r="F279" s="77">
        <f ca="1">IFERROR(AVERAGE(INDEX(INDIRECT("input!" &amp; $F$112 &amp; ":" &amp; $F$112),FirstRowInput+Integration*COUNT($B$114:B278)):INDEX(INDIRECT("input!" &amp; $F$112 &amp; ":" &amp; $F$112),FirstRowInput+Integration*COUNT($B$114:B278)+Integration-1))*$F$110,"")</f>
        <v>15995.643173841552</v>
      </c>
      <c r="G279" s="77">
        <f ca="1">IFERROR(AVERAGE(INDEX(INDIRECT("input!" &amp; $G$112 &amp; ":" &amp; $G$112),FirstRowInput+Integration*COUNT($B$114:B278)):INDEX(INDIRECT("input!" &amp; $G$112 &amp; ":" &amp; $G$112),FirstRowInput+Integration*COUNT($B$114:B278)+Integration-1))*$G$110,"")</f>
        <v>6340256.6528176516</v>
      </c>
      <c r="H279" s="77">
        <f ca="1">IFERROR(AVERAGE(INDEX(INDIRECT("input!" &amp; $H$112 &amp; ":" &amp; $H$112),FirstRowInput+Integration*COUNT($B$114:B278)):INDEX(INDIRECT("input!" &amp; $H$112 &amp; ":" &amp; $H$112),FirstRowInput+Integration*COUNT($B$114:B278)+Integration-1))*$H$110,"")</f>
        <v>13379.156436656212</v>
      </c>
      <c r="I279" s="42">
        <v>167</v>
      </c>
      <c r="J279" s="74" t="str">
        <f t="shared" si="196"/>
        <v/>
      </c>
      <c r="K279" s="183"/>
      <c r="L279" s="394"/>
      <c r="M279" s="394"/>
      <c r="N279" s="394"/>
      <c r="O279" s="394"/>
      <c r="P279" s="394"/>
      <c r="Q279" s="394"/>
      <c r="R279" s="394"/>
      <c r="S279" s="81">
        <f t="shared" ca="1" si="200"/>
        <v>660.16591138692547</v>
      </c>
      <c r="T279" s="108">
        <f t="shared" ca="1" si="197"/>
        <v>1411.9594825878448</v>
      </c>
      <c r="U279" s="108">
        <f t="shared" ca="1" si="198"/>
        <v>1076.7820229742192</v>
      </c>
      <c r="V279" s="108">
        <f t="shared" ca="1" si="199"/>
        <v>243.54979979963173</v>
      </c>
    </row>
    <row r="280" spans="1:22" s="14" customFormat="1" ht="15" customHeight="1" x14ac:dyDescent="0.15">
      <c r="A280" s="75">
        <f ca="1">IFERROR(IF(AND(MAX($A$114:A279)&gt;A279+1, MAX($A$114:A279)&gt;20),0,IF(AND(D280="",G280=""),0,IF(OR(D280&gt;LimitSignB10, G280&gt;LimitSignB11),A279+1,0))),"")</f>
        <v>86</v>
      </c>
      <c r="B280" s="76">
        <f ca="1">IFERROR(MyTime(INDEX(INDIRECT("input!"&amp;$B$112&amp;":"&amp;$B$112),FirstRowInput+Integration*COUNT($B$114:B279)) )* $B$110,"")</f>
        <v>3302.7801600000003</v>
      </c>
      <c r="C280" s="77">
        <f ca="1">IFERROR(AVERAGE(INDEX(INDIRECT("input!" &amp; $C$112 &amp; ":" &amp; $C$112),FirstRowInput+Integration*COUNT($B$114:B279)):INDEX(INDIRECT("input!" &amp; $C$112 &amp; ":" &amp; $C$112),FirstRowInput+Integration*COUNT($B$114:B279)+Integration-1))*$C$110,"")</f>
        <v>21854.424101678815</v>
      </c>
      <c r="D280" s="77">
        <f ca="1">IFERROR(AVERAGE(INDEX(INDIRECT("input!" &amp; $D$112 &amp; ":" &amp; $D$112),FirstRowInput+Integration*COUNT($B$114:B279)):INDEX(INDIRECT("input!" &amp; $D$112 &amp; ":" &amp; $D$112),FirstRowInput+Integration*COUNT($B$114:B279)+Integration-1))*$D$110,"")</f>
        <v>1397195.5032266025</v>
      </c>
      <c r="E280" s="77">
        <f ca="1">IFERROR(AVERAGE(INDEX(INDIRECT("input!" &amp; $E$112 &amp; ":" &amp; $E$112),FirstRowInput+Integration*COUNT($B$114:B279)):INDEX(INDIRECT("input!" &amp; $E$112 &amp; ":" &amp; $E$112),FirstRowInput+Integration*COUNT($B$114:B279)+Integration-1))*$E$110,"")</f>
        <v>19950.002624207449</v>
      </c>
      <c r="F280" s="77">
        <f ca="1">IFERROR(AVERAGE(INDEX(INDIRECT("input!" &amp; $F$112 &amp; ":" &amp; $F$112),FirstRowInput+Integration*COUNT($B$114:B279)):INDEX(INDIRECT("input!" &amp; $F$112 &amp; ":" &amp; $F$112),FirstRowInput+Integration*COUNT($B$114:B279)+Integration-1))*$F$110,"")</f>
        <v>12279.329502811363</v>
      </c>
      <c r="G280" s="77">
        <f ca="1">IFERROR(AVERAGE(INDEX(INDIRECT("input!" &amp; $G$112 &amp; ":" &amp; $G$112),FirstRowInput+Integration*COUNT($B$114:B279)):INDEX(INDIRECT("input!" &amp; $G$112 &amp; ":" &amp; $G$112),FirstRowInput+Integration*COUNT($B$114:B279)+Integration-1))*$G$110,"")</f>
        <v>6294428.6625561127</v>
      </c>
      <c r="H280" s="77">
        <f ca="1">IFERROR(AVERAGE(INDEX(INDIRECT("input!" &amp; $H$112 &amp; ":" &amp; $H$112),FirstRowInput+Integration*COUNT($B$114:B279)):INDEX(INDIRECT("input!" &amp; $H$112 &amp; ":" &amp; $H$112),FirstRowInput+Integration*COUNT($B$114:B279)+Integration-1))*$H$110,"")</f>
        <v>8804.6384707722482</v>
      </c>
      <c r="I280" s="42">
        <v>168</v>
      </c>
      <c r="J280" s="74" t="str">
        <f t="shared" si="196"/>
        <v/>
      </c>
      <c r="K280" s="183"/>
      <c r="L280" s="394"/>
      <c r="M280" s="394"/>
      <c r="N280" s="394"/>
      <c r="O280" s="394"/>
      <c r="P280" s="394"/>
      <c r="Q280" s="394"/>
      <c r="R280" s="394"/>
      <c r="S280" s="81">
        <f t="shared" ca="1" si="200"/>
        <v>-2609.8910790145733</v>
      </c>
      <c r="T280" s="108">
        <f t="shared" ca="1" si="197"/>
        <v>1154.3478754716562</v>
      </c>
      <c r="U280" s="108">
        <f t="shared" ca="1" si="198"/>
        <v>-1038.7434820211656</v>
      </c>
      <c r="V280" s="108">
        <f t="shared" ca="1" si="199"/>
        <v>-4181.0386760079809</v>
      </c>
    </row>
    <row r="281" spans="1:22" s="14" customFormat="1" ht="15" customHeight="1" x14ac:dyDescent="0.15">
      <c r="A281" s="75">
        <f ca="1">IFERROR(IF(AND(MAX($A$114:A280)&gt;A280+1, MAX($A$114:A280)&gt;20),0,IF(AND(D281="",G281=""),0,IF(OR(D281&gt;LimitSignB10, G281&gt;LimitSignB11),A280+1,0))),"")</f>
        <v>87</v>
      </c>
      <c r="B281" s="76">
        <f ca="1">IFERROR(MyTime(INDEX(INDIRECT("input!"&amp;$B$112&amp;":"&amp;$B$112),FirstRowInput+Integration*COUNT($B$114:B280)) )* $B$110,"")</f>
        <v>3302.848</v>
      </c>
      <c r="C281" s="77">
        <f ca="1">IFERROR(AVERAGE(INDEX(INDIRECT("input!" &amp; $C$112 &amp; ":" &amp; $C$112),FirstRowInput+Integration*COUNT($B$114:B280)):INDEX(INDIRECT("input!" &amp; $C$112 &amp; ":" &amp; $C$112),FirstRowInput+Integration*COUNT($B$114:B280)+Integration-1))*$C$110,"")</f>
        <v>21989.005141193</v>
      </c>
      <c r="D281" s="77">
        <f ca="1">IFERROR(AVERAGE(INDEX(INDIRECT("input!" &amp; $D$112 &amp; ":" &amp; $D$112),FirstRowInput+Integration*COUNT($B$114:B280)):INDEX(INDIRECT("input!" &amp; $D$112 &amp; ":" &amp; $D$112),FirstRowInput+Integration*COUNT($B$114:B280)+Integration-1))*$D$110,"")</f>
        <v>1400617.9775977398</v>
      </c>
      <c r="E281" s="77">
        <f ca="1">IFERROR(AVERAGE(INDEX(INDIRECT("input!" &amp; $E$112 &amp; ":" &amp; $E$112),FirstRowInput+Integration*COUNT($B$114:B280)):INDEX(INDIRECT("input!" &amp; $E$112 &amp; ":" &amp; $E$112),FirstRowInput+Integration*COUNT($B$114:B280)+Integration-1))*$E$110,"")</f>
        <v>18774.837817583702</v>
      </c>
      <c r="F281" s="77">
        <f ca="1">IFERROR(AVERAGE(INDEX(INDIRECT("input!" &amp; $F$112 &amp; ":" &amp; $F$112),FirstRowInput+Integration*COUNT($B$114:B280)):INDEX(INDIRECT("input!" &amp; $F$112 &amp; ":" &amp; $F$112),FirstRowInput+Integration*COUNT($B$114:B280)+Integration-1))*$F$110,"")</f>
        <v>7128.7682865127244</v>
      </c>
      <c r="G281" s="77">
        <f ca="1">IFERROR(AVERAGE(INDEX(INDIRECT("input!" &amp; $G$112 &amp; ":" &amp; $G$112),FirstRowInput+Integration*COUNT($B$114:B280)):INDEX(INDIRECT("input!" &amp; $G$112 &amp; ":" &amp; $G$112),FirstRowInput+Integration*COUNT($B$114:B280)+Integration-1))*$G$110,"")</f>
        <v>6309567.7393019861</v>
      </c>
      <c r="H281" s="77">
        <f ca="1">IFERROR(AVERAGE(INDEX(INDIRECT("input!" &amp; $H$112 &amp; ":" &amp; $H$112),FirstRowInput+Integration*COUNT($B$114:B280)):INDEX(INDIRECT("input!" &amp; $H$112 &amp; ":" &amp; $H$112),FirstRowInput+Integration*COUNT($B$114:B280)+Integration-1))*$H$110,"")</f>
        <v>11742.582379368983</v>
      </c>
      <c r="I281" s="42">
        <v>169</v>
      </c>
      <c r="J281" s="74" t="str">
        <f t="shared" si="196"/>
        <v/>
      </c>
      <c r="K281" s="183"/>
      <c r="L281" s="394"/>
      <c r="M281" s="394"/>
      <c r="N281" s="394"/>
      <c r="O281" s="394"/>
      <c r="P281" s="394"/>
      <c r="Q281" s="394"/>
      <c r="R281" s="394"/>
      <c r="S281" s="81">
        <f t="shared" ca="1" si="200"/>
        <v>-2287.5974190907741</v>
      </c>
      <c r="T281" s="108">
        <f t="shared" ca="1" si="197"/>
        <v>2054.6482183456719</v>
      </c>
      <c r="U281" s="108">
        <f t="shared" ca="1" si="198"/>
        <v>-382.6601999074137</v>
      </c>
      <c r="V281" s="108">
        <f t="shared" ca="1" si="199"/>
        <v>-4192.5346382741345</v>
      </c>
    </row>
    <row r="282" spans="1:22" s="14" customFormat="1" ht="15" customHeight="1" x14ac:dyDescent="0.15">
      <c r="A282" s="75">
        <f ca="1">IFERROR(IF(AND(MAX($A$114:A281)&gt;A281+1, MAX($A$114:A281)&gt;20),0,IF(AND(D282="",G282=""),0,IF(OR(D282&gt;LimitSignB10, G282&gt;LimitSignB11),A281+1,0))),"")</f>
        <v>88</v>
      </c>
      <c r="B282" s="76">
        <f ca="1">IFERROR(MyTime(INDEX(INDIRECT("input!"&amp;$B$112&amp;":"&amp;$B$112),FirstRowInput+Integration*COUNT($B$114:B281)) )* $B$110,"")</f>
        <v>3302.9160959999999</v>
      </c>
      <c r="C282" s="77">
        <f ca="1">IFERROR(AVERAGE(INDEX(INDIRECT("input!" &amp; $C$112 &amp; ":" &amp; $C$112),FirstRowInput+Integration*COUNT($B$114:B281)):INDEX(INDIRECT("input!" &amp; $C$112 &amp; ":" &amp; $C$112),FirstRowInput+Integration*COUNT($B$114:B281)+Integration-1))*$C$110,"")</f>
        <v>18890.857375107622</v>
      </c>
      <c r="D282" s="77">
        <f ca="1">IFERROR(AVERAGE(INDEX(INDIRECT("input!" &amp; $D$112 &amp; ":" &amp; $D$112),FirstRowInput+Integration*COUNT($B$114:B281)):INDEX(INDIRECT("input!" &amp; $D$112 &amp; ":" &amp; $D$112),FirstRowInput+Integration*COUNT($B$114:B281)+Integration-1))*$D$110,"")</f>
        <v>1405653.7048176166</v>
      </c>
      <c r="E282" s="77">
        <f ca="1">IFERROR(AVERAGE(INDEX(INDIRECT("input!" &amp; $E$112 &amp; ":" &amp; $E$112),FirstRowInput+Integration*COUNT($B$114:B281)):INDEX(INDIRECT("input!" &amp; $E$112 &amp; ":" &amp; $E$112),FirstRowInput+Integration*COUNT($B$114:B281)+Integration-1))*$E$110,"")</f>
        <v>21750.603309955481</v>
      </c>
      <c r="F282" s="77">
        <f ca="1">IFERROR(AVERAGE(INDEX(INDIRECT("input!" &amp; $F$112 &amp; ":" &amp; $F$112),FirstRowInput+Integration*COUNT($B$114:B281)):INDEX(INDIRECT("input!" &amp; $F$112 &amp; ":" &amp; $F$112),FirstRowInput+Integration*COUNT($B$114:B281)+Integration-1))*$F$110,"")</f>
        <v>9649.0666588553959</v>
      </c>
      <c r="G282" s="77">
        <f ca="1">IFERROR(AVERAGE(INDEX(INDIRECT("input!" &amp; $G$112 &amp; ":" &amp; $G$112),FirstRowInput+Integration*COUNT($B$114:B281)):INDEX(INDIRECT("input!" &amp; $G$112 &amp; ":" &amp; $G$112),FirstRowInput+Integration*COUNT($B$114:B281)+Integration-1))*$G$110,"")</f>
        <v>6329281.394974512</v>
      </c>
      <c r="H282" s="77">
        <f ca="1">IFERROR(AVERAGE(INDEX(INDIRECT("input!" &amp; $H$112 &amp; ":" &amp; $H$112),FirstRowInput+Integration*COUNT($B$114:B281)):INDEX(INDIRECT("input!" &amp; $H$112 &amp; ":" &amp; $H$112),FirstRowInput+Integration*COUNT($B$114:B281)+Integration-1))*$H$110,"")</f>
        <v>105.39100923337396</v>
      </c>
      <c r="I282" s="42">
        <v>170</v>
      </c>
      <c r="J282" s="74" t="str">
        <f t="shared" si="196"/>
        <v/>
      </c>
      <c r="K282" s="183"/>
      <c r="L282" s="394"/>
      <c r="M282" s="394"/>
      <c r="N282" s="394"/>
      <c r="O282" s="394"/>
      <c r="P282" s="394"/>
      <c r="Q282" s="394"/>
      <c r="R282" s="394"/>
      <c r="S282" s="81">
        <f t="shared" ca="1" si="200"/>
        <v>559.12210674155813</v>
      </c>
      <c r="T282" s="108">
        <f t="shared" ca="1" si="197"/>
        <v>2068.3741958774626</v>
      </c>
      <c r="U282" s="108">
        <f t="shared" ca="1" si="198"/>
        <v>2155.2905368242191</v>
      </c>
      <c r="V282" s="108">
        <f t="shared" ca="1" si="199"/>
        <v>-1037.0463233411028</v>
      </c>
    </row>
    <row r="283" spans="1:22" s="14" customFormat="1" ht="15" customHeight="1" x14ac:dyDescent="0.15">
      <c r="A283" s="75">
        <f ca="1">IFERROR(IF(AND(MAX($A$114:A282)&gt;A282+1, MAX($A$114:A282)&gt;20),0,IF(AND(D283="",G283=""),0,IF(OR(D283&gt;LimitSignB10, G283&gt;LimitSignB11),A282+1,0))),"")</f>
        <v>89</v>
      </c>
      <c r="B283" s="76">
        <f ca="1">IFERROR(MyTime(INDEX(INDIRECT("input!"&amp;$B$112&amp;":"&amp;$B$112),FirstRowInput+Integration*COUNT($B$114:B282)) )* $B$110,"")</f>
        <v>3302.9841919999999</v>
      </c>
      <c r="C283" s="77">
        <f ca="1">IFERROR(AVERAGE(INDEX(INDIRECT("input!" &amp; $C$112 &amp; ":" &amp; $C$112),FirstRowInput+Integration*COUNT($B$114:B282)):INDEX(INDIRECT("input!" &amp; $C$112 &amp; ":" &amp; $C$112),FirstRowInput+Integration*COUNT($B$114:B282)+Integration-1))*$C$110,"")</f>
        <v>17771.002608974035</v>
      </c>
      <c r="D283" s="77">
        <f ca="1">IFERROR(AVERAGE(INDEX(INDIRECT("input!" &amp; $D$112 &amp; ":" &amp; $D$112),FirstRowInput+Integration*COUNT($B$114:B282)):INDEX(INDIRECT("input!" &amp; $D$112 &amp; ":" &amp; $D$112),FirstRowInput+Integration*COUNT($B$114:B282)+Integration-1))*$D$110,"")</f>
        <v>1402967.0906901562</v>
      </c>
      <c r="E283" s="77">
        <f ca="1">IFERROR(AVERAGE(INDEX(INDIRECT("input!" &amp; $E$112 &amp; ":" &amp; $E$112),FirstRowInput+Integration*COUNT($B$114:B282)):INDEX(INDIRECT("input!" &amp; $E$112 &amp; ":" &amp; $E$112),FirstRowInput+Integration*COUNT($B$114:B282)+Integration-1))*$E$110,"")</f>
        <v>18802.289772647284</v>
      </c>
      <c r="F283" s="77">
        <f ca="1">IFERROR(AVERAGE(INDEX(INDIRECT("input!" &amp; $F$112 &amp; ":" &amp; $F$112),FirstRowInput+Integration*COUNT($B$114:B282)):INDEX(INDIRECT("input!" &amp; $F$112 &amp; ":" &amp; $F$112),FirstRowInput+Integration*COUNT($B$114:B282)+Integration-1))*$F$110,"")</f>
        <v>14247.579349152615</v>
      </c>
      <c r="G283" s="77">
        <f ca="1">IFERROR(AVERAGE(INDEX(INDIRECT("input!" &amp; $G$112 &amp; ":" &amp; $G$112),FirstRowInput+Integration*COUNT($B$114:B282)):INDEX(INDIRECT("input!" &amp; $G$112 &amp; ":" &amp; $G$112),FirstRowInput+Integration*COUNT($B$114:B282)+Integration-1))*$G$110,"")</f>
        <v>6329803.9529851768</v>
      </c>
      <c r="H283" s="77">
        <f ca="1">IFERROR(AVERAGE(INDEX(INDIRECT("input!" &amp; $H$112 &amp; ":" &amp; $H$112),FirstRowInput+Integration*COUNT($B$114:B282)):INDEX(INDIRECT("input!" &amp; $H$112 &amp; ":" &amp; $H$112),FirstRowInput+Integration*COUNT($B$114:B282)+Integration-1))*$H$110,"")</f>
        <v>8770.1505839737911</v>
      </c>
      <c r="I283" s="42">
        <v>171</v>
      </c>
      <c r="J283" s="74" t="str">
        <f t="shared" si="196"/>
        <v/>
      </c>
      <c r="K283" s="183"/>
      <c r="L283" s="394"/>
      <c r="M283" s="394"/>
      <c r="N283" s="394"/>
      <c r="O283" s="394"/>
      <c r="P283" s="394"/>
      <c r="Q283" s="394"/>
      <c r="R283" s="394"/>
      <c r="S283" s="81">
        <f t="shared" ca="1" si="200"/>
        <v>1845.2883722802808</v>
      </c>
      <c r="T283" s="108">
        <f t="shared" ca="1" si="197"/>
        <v>561.66887867005426</v>
      </c>
      <c r="U283" s="108">
        <f t="shared" ca="1" si="198"/>
        <v>1023.5100176666838</v>
      </c>
      <c r="V283" s="108">
        <f t="shared" ca="1" si="199"/>
        <v>2667.0667268938778</v>
      </c>
    </row>
    <row r="284" spans="1:22" s="14" customFormat="1" ht="15" customHeight="1" x14ac:dyDescent="0.15">
      <c r="A284" s="75">
        <f ca="1">IFERROR(IF(AND(MAX($A$114:A283)&gt;A283+1, MAX($A$114:A283)&gt;20),0,IF(AND(D284="",G284=""),0,IF(OR(D284&gt;LimitSignB10, G284&gt;LimitSignB11),A283+1,0))),"")</f>
        <v>90</v>
      </c>
      <c r="B284" s="76">
        <f ca="1">IFERROR(MyTime(INDEX(INDIRECT("input!"&amp;$B$112&amp;":"&amp;$B$112),FirstRowInput+Integration*COUNT($B$114:B283)) )* $B$110,"")</f>
        <v>3303.0517760000002</v>
      </c>
      <c r="C284" s="77">
        <f ca="1">IFERROR(AVERAGE(INDEX(INDIRECT("input!" &amp; $C$112 &amp; ":" &amp; $C$112),FirstRowInput+Integration*COUNT($B$114:B283)):INDEX(INDIRECT("input!" &amp; $C$112 &amp; ":" &amp; $C$112),FirstRowInput+Integration*COUNT($B$114:B283)+Integration-1))*$C$110,"")</f>
        <v>18498.687823874858</v>
      </c>
      <c r="D284" s="77">
        <f ca="1">IFERROR(AVERAGE(INDEX(INDIRECT("input!" &amp; $D$112 &amp; ":" &amp; $D$112),FirstRowInput+Integration*COUNT($B$114:B283)):INDEX(INDIRECT("input!" &amp; $D$112 &amp; ":" &amp; $D$112),FirstRowInput+Integration*COUNT($B$114:B283)+Integration-1))*$D$110,"")</f>
        <v>1392938.0130833543</v>
      </c>
      <c r="E284" s="77">
        <f ca="1">IFERROR(AVERAGE(INDEX(INDIRECT("input!" &amp; $E$112 &amp; ":" &amp; $E$112),FirstRowInput+Integration*COUNT($B$114:B283)):INDEX(INDIRECT("input!" &amp; $E$112 &amp; ":" &amp; $E$112),FirstRowInput+Integration*COUNT($B$114:B283)+Integration-1))*$E$110,"")</f>
        <v>18737.192675540664</v>
      </c>
      <c r="F284" s="77">
        <f ca="1">IFERROR(AVERAGE(INDEX(INDIRECT("input!" &amp; $F$112 &amp; ":" &amp; $F$112),FirstRowInput+Integration*COUNT($B$114:B283)):INDEX(INDIRECT("input!" &amp; $F$112 &amp; ":" &amp; $F$112),FirstRowInput+Integration*COUNT($B$114:B283)+Integration-1))*$F$110,"")</f>
        <v>14742.620496707626</v>
      </c>
      <c r="G284" s="77">
        <f ca="1">IFERROR(AVERAGE(INDEX(INDIRECT("input!" &amp; $G$112 &amp; ":" &amp; $G$112),FirstRowInput+Integration*COUNT($B$114:B283)):INDEX(INDIRECT("input!" &amp; $G$112 &amp; ":" &amp; $G$112),FirstRowInput+Integration*COUNT($B$114:B283)+Integration-1))*$G$110,"")</f>
        <v>6278438.6151956357</v>
      </c>
      <c r="H284" s="77">
        <f ca="1">IFERROR(AVERAGE(INDEX(INDIRECT("input!" &amp; $H$112 &amp; ":" &amp; $H$112),FirstRowInput+Integration*COUNT($B$114:B283)):INDEX(INDIRECT("input!" &amp; $H$112 &amp; ":" &amp; $H$112),FirstRowInput+Integration*COUNT($B$114:B283)+Integration-1))*$H$110,"")</f>
        <v>21209.047324168081</v>
      </c>
      <c r="I284" s="42">
        <v>172</v>
      </c>
      <c r="J284" s="74" t="str">
        <f t="shared" si="196"/>
        <v/>
      </c>
      <c r="K284" s="183"/>
      <c r="L284" s="394"/>
      <c r="M284" s="394"/>
      <c r="N284" s="394"/>
      <c r="O284" s="394"/>
      <c r="P284" s="394"/>
      <c r="Q284" s="394"/>
      <c r="R284" s="394"/>
      <c r="S284" s="81">
        <f t="shared" ca="1" si="200"/>
        <v>3363.5365294712292</v>
      </c>
      <c r="T284" s="108">
        <f t="shared" ca="1" si="197"/>
        <v>402.20027635049337</v>
      </c>
      <c r="U284" s="108">
        <f t="shared" ca="1" si="198"/>
        <v>-168.8517236959633</v>
      </c>
      <c r="V284" s="108">
        <f t="shared" ca="1" si="199"/>
        <v>6895.9247826384217</v>
      </c>
    </row>
    <row r="285" spans="1:22" s="14" customFormat="1" ht="15" customHeight="1" x14ac:dyDescent="0.15">
      <c r="A285" s="75">
        <f ca="1">IFERROR(IF(AND(MAX($A$114:A284)&gt;A284+1, MAX($A$114:A284)&gt;20),0,IF(AND(D285="",G285=""),0,IF(OR(D285&gt;LimitSignB10, G285&gt;LimitSignB11),A284+1,0))),"")</f>
        <v>91</v>
      </c>
      <c r="B285" s="76">
        <f ca="1">IFERROR(MyTime(INDEX(INDIRECT("input!"&amp;$B$112&amp;":"&amp;$B$112),FirstRowInput+Integration*COUNT($B$114:B284)) )* $B$110,"")</f>
        <v>3303.1198720000002</v>
      </c>
      <c r="C285" s="77">
        <f ca="1">IFERROR(AVERAGE(INDEX(INDIRECT("input!" &amp; $C$112 &amp; ":" &amp; $C$112),FirstRowInput+Integration*COUNT($B$114:B284)):INDEX(INDIRECT("input!" &amp; $C$112 &amp; ":" &amp; $C$112),FirstRowInput+Integration*COUNT($B$114:B284)+Integration-1))*$C$110,"")</f>
        <v>22678.39089301469</v>
      </c>
      <c r="D285" s="77">
        <f ca="1">IFERROR(AVERAGE(INDEX(INDIRECT("input!" &amp; $D$112 &amp; ":" &amp; $D$112),FirstRowInput+Integration*COUNT($B$114:B284)):INDEX(INDIRECT("input!" &amp; $D$112 &amp; ":" &amp; $D$112),FirstRowInput+Integration*COUNT($B$114:B284)+Integration-1))*$D$110,"")</f>
        <v>1377914.8849533848</v>
      </c>
      <c r="E285" s="77">
        <f ca="1">IFERROR(AVERAGE(INDEX(INDIRECT("input!" &amp; $E$112 &amp; ":" &amp; $E$112),FirstRowInput+Integration*COUNT($B$114:B284)):INDEX(INDIRECT("input!" &amp; $E$112 &amp; ":" &amp; $E$112),FirstRowInput+Integration*COUNT($B$114:B284)+Integration-1))*$E$110,"")</f>
        <v>18483.352568008162</v>
      </c>
      <c r="F285" s="77">
        <f ca="1">IFERROR(AVERAGE(INDEX(INDIRECT("input!" &amp; $F$112 &amp; ":" &amp; $F$112),FirstRowInput+Integration*COUNT($B$114:B284)):INDEX(INDIRECT("input!" &amp; $F$112 &amp; ":" &amp; $F$112),FirstRowInput+Integration*COUNT($B$114:B284)+Integration-1))*$F$110,"")</f>
        <v>6253.7251013827827</v>
      </c>
      <c r="G285" s="77">
        <f ca="1">IFERROR(AVERAGE(INDEX(INDIRECT("input!" &amp; $G$112 &amp; ":" &amp; $G$112),FirstRowInput+Integration*COUNT($B$114:B284)):INDEX(INDIRECT("input!" &amp; $G$112 &amp; ":" &amp; $G$112),FirstRowInput+Integration*COUNT($B$114:B284)+Integration-1))*$G$110,"")</f>
        <v>6215436.8522829087</v>
      </c>
      <c r="H285" s="77">
        <f ca="1">IFERROR(AVERAGE(INDEX(INDIRECT("input!" &amp; $H$112 &amp; ":" &amp; $H$112),FirstRowInput+Integration*COUNT($B$114:B284)):INDEX(INDIRECT("input!" &amp; $H$112 &amp; ":" &amp; $H$112),FirstRowInput+Integration*COUNT($B$114:B284)+Integration-1))*$H$110,"")</f>
        <v>11217.730159938308</v>
      </c>
      <c r="I285" s="42">
        <v>173</v>
      </c>
      <c r="J285" s="74" t="str">
        <f t="shared" si="196"/>
        <v/>
      </c>
      <c r="K285" s="183"/>
      <c r="L285" s="394"/>
      <c r="M285" s="394"/>
      <c r="N285" s="394"/>
      <c r="O285" s="394"/>
      <c r="P285" s="394"/>
      <c r="Q285" s="394"/>
      <c r="R285" s="394"/>
      <c r="S285" s="81">
        <f t="shared" ca="1" si="200"/>
        <v>1562.58363499801</v>
      </c>
      <c r="T285" s="108">
        <f t="shared" ca="1" si="197"/>
        <v>116.73079239261278</v>
      </c>
      <c r="U285" s="108">
        <f t="shared" ca="1" si="198"/>
        <v>-1363.700459314683</v>
      </c>
      <c r="V285" s="108">
        <f t="shared" ca="1" si="199"/>
        <v>4488.867729310703</v>
      </c>
    </row>
    <row r="286" spans="1:22" s="14" customFormat="1" ht="15" customHeight="1" x14ac:dyDescent="0.15">
      <c r="A286" s="75">
        <f ca="1">IFERROR(IF(AND(MAX($A$114:A285)&gt;A285+1, MAX($A$114:A285)&gt;20),0,IF(AND(D286="",G286=""),0,IF(OR(D286&gt;LimitSignB10, G286&gt;LimitSignB11),A285+1,0))),"")</f>
        <v>92</v>
      </c>
      <c r="B286" s="76">
        <f ca="1">IFERROR(MyTime(INDEX(INDIRECT("input!"&amp;$B$112&amp;":"&amp;$B$112),FirstRowInput+Integration*COUNT($B$114:B285)) )* $B$110,"")</f>
        <v>3303.1879679999997</v>
      </c>
      <c r="C286" s="77">
        <f ca="1">IFERROR(AVERAGE(INDEX(INDIRECT("input!" &amp; $C$112 &amp; ":" &amp; $C$112),FirstRowInput+Integration*COUNT($B$114:B285)):INDEX(INDIRECT("input!" &amp; $C$112 &amp; ":" &amp; $C$112),FirstRowInput+Integration*COUNT($B$114:B285)+Integration-1))*$C$110,"")</f>
        <v>22365.405032952884</v>
      </c>
      <c r="D286" s="77">
        <f ca="1">IFERROR(AVERAGE(INDEX(INDIRECT("input!" &amp; $D$112 &amp; ":" &amp; $D$112),FirstRowInput+Integration*COUNT($B$114:B285)):INDEX(INDIRECT("input!" &amp; $D$112 &amp; ":" &amp; $D$112),FirstRowInput+Integration*COUNT($B$114:B285)+Integration-1))*$D$110,"")</f>
        <v>1371325.6035400897</v>
      </c>
      <c r="E286" s="77">
        <f ca="1">IFERROR(AVERAGE(INDEX(INDIRECT("input!" &amp; $E$112 &amp; ":" &amp; $E$112),FirstRowInput+Integration*COUNT($B$114:B285)):INDEX(INDIRECT("input!" &amp; $E$112 &amp; ":" &amp; $E$112),FirstRowInput+Integration*COUNT($B$114:B285)+Integration-1))*$E$110,"")</f>
        <v>18166.253707624899</v>
      </c>
      <c r="F286" s="77">
        <f ca="1">IFERROR(AVERAGE(INDEX(INDIRECT("input!" &amp; $F$112 &amp; ":" &amp; $F$112),FirstRowInput+Integration*COUNT($B$114:B285)):INDEX(INDIRECT("input!" &amp; $F$112 &amp; ":" &amp; $F$112),FirstRowInput+Integration*COUNT($B$114:B285)+Integration-1))*$F$110,"")</f>
        <v>10670.494125064675</v>
      </c>
      <c r="G286" s="77">
        <f ca="1">IFERROR(AVERAGE(INDEX(INDIRECT("input!" &amp; $G$112 &amp; ":" &amp; $G$112),FirstRowInput+Integration*COUNT($B$114:B285)):INDEX(INDIRECT("input!" &amp; $G$112 &amp; ":" &amp; $G$112),FirstRowInput+Integration*COUNT($B$114:B285)+Integration-1))*$G$110,"")</f>
        <v>6188786.1028864542</v>
      </c>
      <c r="H286" s="77">
        <f ca="1">IFERROR(AVERAGE(INDEX(INDIRECT("input!" &amp; $H$112 &amp; ":" &amp; $H$112),FirstRowInput+Integration*COUNT($B$114:B285)):INDEX(INDIRECT("input!" &amp; $H$112 &amp; ":" &amp; $H$112),FirstRowInput+Integration*COUNT($B$114:B285)+Integration-1))*$H$110,"")</f>
        <v>21456.724751207428</v>
      </c>
      <c r="I286" s="42">
        <v>174</v>
      </c>
      <c r="J286" s="74" t="str">
        <f t="shared" si="196"/>
        <v/>
      </c>
      <c r="K286" s="183"/>
      <c r="L286" s="394"/>
      <c r="M286" s="394"/>
      <c r="N286" s="394"/>
      <c r="O286" s="394"/>
      <c r="P286" s="394"/>
      <c r="Q286" s="394"/>
      <c r="R286" s="394"/>
      <c r="S286" s="81">
        <f t="shared" ca="1" si="200"/>
        <v>3055.3207559809398</v>
      </c>
      <c r="T286" s="108">
        <f t="shared" ca="1" si="197"/>
        <v>667.18595836813984</v>
      </c>
      <c r="U286" s="108">
        <f t="shared" ca="1" si="198"/>
        <v>1673.3568132231248</v>
      </c>
      <c r="V286" s="108">
        <f t="shared" ca="1" si="199"/>
        <v>4437.2846987387547</v>
      </c>
    </row>
    <row r="287" spans="1:22" s="14" customFormat="1" ht="15" customHeight="1" x14ac:dyDescent="0.15">
      <c r="A287" s="75">
        <f ca="1">IFERROR(IF(AND(MAX($A$114:A286)&gt;A286+1, MAX($A$114:A286)&gt;20),0,IF(AND(D287="",G287=""),0,IF(OR(D287&gt;LimitSignB10, G287&gt;LimitSignB11),A286+1,0))),"")</f>
        <v>93</v>
      </c>
      <c r="B287" s="76">
        <f ca="1">IFERROR(MyTime(INDEX(INDIRECT("input!"&amp;$B$112&amp;":"&amp;$B$112),FirstRowInput+Integration*COUNT($B$114:B286)) )* $B$110,"")</f>
        <v>3303.25632</v>
      </c>
      <c r="C287" s="77">
        <f ca="1">IFERROR(AVERAGE(INDEX(INDIRECT("input!" &amp; $C$112 &amp; ":" &amp; $C$112),FirstRowInput+Integration*COUNT($B$114:B286)):INDEX(INDIRECT("input!" &amp; $C$112 &amp; ":" &amp; $C$112),FirstRowInput+Integration*COUNT($B$114:B286)+Integration-1))*$C$110,"")</f>
        <v>20359.048940742719</v>
      </c>
      <c r="D287" s="77">
        <f ca="1">IFERROR(AVERAGE(INDEX(INDIRECT("input!" &amp; $D$112 &amp; ":" &amp; $D$112),FirstRowInput+Integration*COUNT($B$114:B286)):INDEX(INDIRECT("input!" &amp; $D$112 &amp; ":" &amp; $D$112),FirstRowInput+Integration*COUNT($B$114:B286)+Integration-1))*$D$110,"")</f>
        <v>1361731.1299808237</v>
      </c>
      <c r="E287" s="77">
        <f ca="1">IFERROR(AVERAGE(INDEX(INDIRECT("input!" &amp; $E$112 &amp; ":" &amp; $E$112),FirstRowInput+Integration*COUNT($B$114:B286)):INDEX(INDIRECT("input!" &amp; $E$112 &amp; ":" &amp; $E$112),FirstRowInput+Integration*COUNT($B$114:B286)+Integration-1))*$E$110,"")</f>
        <v>19584.26289995922</v>
      </c>
      <c r="F287" s="77">
        <f ca="1">IFERROR(AVERAGE(INDEX(INDIRECT("input!" &amp; $F$112 &amp; ":" &amp; $F$112),FirstRowInput+Integration*COUNT($B$114:B286)):INDEX(INDIRECT("input!" &amp; $F$112 &amp; ":" &amp; $F$112),FirstRowInput+Integration*COUNT($B$114:B286)+Integration-1))*$F$110,"")</f>
        <v>11158.074289851465</v>
      </c>
      <c r="G287" s="77">
        <f ca="1">IFERROR(AVERAGE(INDEX(INDIRECT("input!" &amp; $G$112 &amp; ":" &amp; $G$112),FirstRowInput+Integration*COUNT($B$114:B286)):INDEX(INDIRECT("input!" &amp; $G$112 &amp; ":" &amp; $G$112),FirstRowInput+Integration*COUNT($B$114:B286)+Integration-1))*$G$110,"")</f>
        <v>6167669.2331819199</v>
      </c>
      <c r="H287" s="77">
        <f ca="1">IFERROR(AVERAGE(INDEX(INDIRECT("input!" &amp; $H$112 &amp; ":" &amp; $H$112),FirstRowInput+Integration*COUNT($B$114:B286)):INDEX(INDIRECT("input!" &amp; $H$112 &amp; ":" &amp; $H$112),FirstRowInput+Integration*COUNT($B$114:B286)+Integration-1))*$H$110,"")</f>
        <v>13987.876164184916</v>
      </c>
      <c r="I287" s="42">
        <v>175</v>
      </c>
      <c r="J287" s="74"/>
      <c r="K287" s="183"/>
      <c r="L287" s="394"/>
      <c r="M287" s="394"/>
      <c r="N287" s="394"/>
      <c r="O287" s="394"/>
      <c r="P287" s="394"/>
      <c r="Q287" s="394"/>
      <c r="R287" s="394"/>
      <c r="S287" s="81">
        <f t="shared" ca="1" si="200"/>
        <v>-1745.3584449939972</v>
      </c>
      <c r="T287" s="108">
        <f t="shared" ca="1" si="197"/>
        <v>1001.1094209323419</v>
      </c>
      <c r="U287" s="108">
        <f t="shared" ca="1" si="198"/>
        <v>555.85804898275273</v>
      </c>
      <c r="V287" s="108">
        <f t="shared" ca="1" si="199"/>
        <v>-4046.5749389707471</v>
      </c>
    </row>
    <row r="288" spans="1:22" s="14" customFormat="1" ht="15" customHeight="1" x14ac:dyDescent="0.15">
      <c r="A288" s="75">
        <f ca="1">IFERROR(IF(AND(MAX($A$114:A287)&gt;A287+1, MAX($A$114:A287)&gt;20),0,IF(AND(D288="",G288=""),0,IF(OR(D288&gt;LimitSignB10, G288&gt;LimitSignB11),A287+1,0))),"")</f>
        <v>94</v>
      </c>
      <c r="B288" s="76">
        <f ca="1">IFERROR(MyTime(INDEX(INDIRECT("input!"&amp;$B$112&amp;":"&amp;$B$112),FirstRowInput+Integration*COUNT($B$114:B287)) )* $B$110,"")</f>
        <v>3303.3241600000001</v>
      </c>
      <c r="C288" s="77">
        <f ca="1">IFERROR(AVERAGE(INDEX(INDIRECT("input!" &amp; $C$112 &amp; ":" &amp; $C$112),FirstRowInput+Integration*COUNT($B$114:B287)):INDEX(INDIRECT("input!" &amp; $C$112 &amp; ":" &amp; $C$112),FirstRowInput+Integration*COUNT($B$114:B287)+Integration-1))*$C$110,"")</f>
        <v>19970.480961918554</v>
      </c>
      <c r="D288" s="77">
        <f ca="1">IFERROR(AVERAGE(INDEX(INDIRECT("input!" &amp; $D$112 &amp; ":" &amp; $D$112),FirstRowInput+Integration*COUNT($B$114:B287)):INDEX(INDIRECT("input!" &amp; $D$112 &amp; ":" &amp; $D$112),FirstRowInput+Integration*COUNT($B$114:B287)+Integration-1))*$D$110,"")</f>
        <v>1356756.3461206062</v>
      </c>
      <c r="E288" s="77">
        <f ca="1">IFERROR(AVERAGE(INDEX(INDIRECT("input!" &amp; $E$112 &amp; ":" &amp; $E$112),FirstRowInput+Integration*COUNT($B$114:B287)):INDEX(INDIRECT("input!" &amp; $E$112 &amp; ":" &amp; $E$112),FirstRowInput+Integration*COUNT($B$114:B287)+Integration-1))*$E$110,"")</f>
        <v>18834.100632753307</v>
      </c>
      <c r="F288" s="77">
        <f ca="1">IFERROR(AVERAGE(INDEX(INDIRECT("input!" &amp; $F$112 &amp; ":" &amp; $F$112),FirstRowInput+Integration*COUNT($B$114:B287)):INDEX(INDIRECT("input!" &amp; $F$112 &amp; ":" &amp; $F$112),FirstRowInput+Integration*COUNT($B$114:B287)+Integration-1))*$F$110,"")</f>
        <v>15364.896918996206</v>
      </c>
      <c r="G288" s="77">
        <f ca="1">IFERROR(AVERAGE(INDEX(INDIRECT("input!" &amp; $G$112 &amp; ":" &amp; $G$112),FirstRowInput+Integration*COUNT($B$114:B287)):INDEX(INDIRECT("input!" &amp; $G$112 &amp; ":" &amp; $G$112),FirstRowInput+Integration*COUNT($B$114:B287)+Integration-1))*$G$110,"")</f>
        <v>6133991.6293249838</v>
      </c>
      <c r="H288" s="77">
        <f ca="1">IFERROR(AVERAGE(INDEX(INDIRECT("input!" &amp; $H$112 &amp; ":" &amp; $H$112),FirstRowInput+Integration*COUNT($B$114:B287)):INDEX(INDIRECT("input!" &amp; $H$112 &amp; ":" &amp; $H$112),FirstRowInput+Integration*COUNT($B$114:B287)+Integration-1))*$H$110,"")</f>
        <v>11062.981068222471</v>
      </c>
      <c r="I288" s="42">
        <v>176</v>
      </c>
      <c r="J288" s="74"/>
      <c r="K288" s="183"/>
      <c r="L288" s="394"/>
      <c r="M288" s="394"/>
      <c r="N288" s="394"/>
      <c r="O288" s="394"/>
      <c r="P288" s="394"/>
      <c r="Q288" s="394"/>
      <c r="R288" s="394"/>
      <c r="S288" s="81">
        <f t="shared" ca="1" si="200"/>
        <v>-2977.6967956603394</v>
      </c>
      <c r="T288" s="108">
        <f t="shared" ca="1" si="197"/>
        <v>920.54313899961562</v>
      </c>
      <c r="U288" s="108">
        <f t="shared" ca="1" si="198"/>
        <v>-372.61967480551175</v>
      </c>
      <c r="V288" s="108">
        <f t="shared" ca="1" si="199"/>
        <v>-5582.773916515167</v>
      </c>
    </row>
    <row r="289" spans="1:27" s="14" customFormat="1" ht="15" customHeight="1" x14ac:dyDescent="0.15">
      <c r="A289" s="75">
        <f ca="1">IFERROR(IF(AND(MAX($A$114:A288)&gt;A288+1, MAX($A$114:A288)&gt;20),0,IF(AND(D289="",G289=""),0,IF(OR(D289&gt;LimitSignB10, G289&gt;LimitSignB11),A288+1,0))),"")</f>
        <v>95</v>
      </c>
      <c r="B289" s="76">
        <f ca="1">IFERROR(MyTime(INDEX(INDIRECT("input!"&amp;$B$112&amp;":"&amp;$B$112),FirstRowInput+Integration*COUNT($B$114:B288)) )* $B$110,"")</f>
        <v>3303.3925120000004</v>
      </c>
      <c r="C289" s="77">
        <f ca="1">IFERROR(AVERAGE(INDEX(INDIRECT("input!" &amp; $C$112 &amp; ":" &amp; $C$112),FirstRowInput+Integration*COUNT($B$114:B288)):INDEX(INDIRECT("input!" &amp; $C$112 &amp; ":" &amp; $C$112),FirstRowInput+Integration*COUNT($B$114:B288)+Integration-1))*$C$110,"")</f>
        <v>19191.480462937787</v>
      </c>
      <c r="D289" s="77">
        <f ca="1">IFERROR(AVERAGE(INDEX(INDIRECT("input!" &amp; $D$112 &amp; ":" &amp; $D$112),FirstRowInput+Integration*COUNT($B$114:B288)):INDEX(INDIRECT("input!" &amp; $D$112 &amp; ":" &amp; $D$112),FirstRowInput+Integration*COUNT($B$114:B288)+Integration-1))*$D$110,"")</f>
        <v>1356864.7757302434</v>
      </c>
      <c r="E289" s="77">
        <f ca="1">IFERROR(AVERAGE(INDEX(INDIRECT("input!" &amp; $E$112 &amp; ":" &amp; $E$112),FirstRowInput+Integration*COUNT($B$114:B288)):INDEX(INDIRECT("input!" &amp; $E$112 &amp; ":" &amp; $E$112),FirstRowInput+Integration*COUNT($B$114:B288)+Integration-1))*$E$110,"")</f>
        <v>19423.130336093764</v>
      </c>
      <c r="F289" s="77">
        <f ca="1">IFERROR(AVERAGE(INDEX(INDIRECT("input!" &amp; $F$112 &amp; ":" &amp; $F$112),FirstRowInput+Integration*COUNT($B$114:B288)):INDEX(INDIRECT("input!" &amp; $F$112 &amp; ":" &amp; $F$112),FirstRowInput+Integration*COUNT($B$114:B288)+Integration-1))*$F$110,"")</f>
        <v>7317.9978323435571</v>
      </c>
      <c r="G289" s="77">
        <f ca="1">IFERROR(AVERAGE(INDEX(INDIRECT("input!" &amp; $G$112 &amp; ":" &amp; $G$112),FirstRowInput+Integration*COUNT($B$114:B288)):INDEX(INDIRECT("input!" &amp; $G$112 &amp; ":" &amp; $G$112),FirstRowInput+Integration*COUNT($B$114:B288)+Integration-1))*$G$110,"")</f>
        <v>6110640.2854579994</v>
      </c>
      <c r="H289" s="77">
        <f ca="1">IFERROR(AVERAGE(INDEX(INDIRECT("input!" &amp; $H$112 &amp; ":" &amp; $H$112),FirstRowInput+Integration*COUNT($B$114:B288)):INDEX(INDIRECT("input!" &amp; $H$112 &amp; ":" &amp; $H$112),FirstRowInput+Integration*COUNT($B$114:B288)+Integration-1))*$H$110,"")</f>
        <v>-3994.8541619210764</v>
      </c>
      <c r="I289" s="42">
        <v>177</v>
      </c>
      <c r="J289" s="74"/>
      <c r="K289" s="183"/>
      <c r="L289" s="394"/>
      <c r="M289" s="394"/>
      <c r="N289" s="394"/>
      <c r="O289" s="394"/>
      <c r="P289" s="394"/>
      <c r="Q289" s="394"/>
      <c r="R289" s="394"/>
      <c r="S289" s="81">
        <f t="shared" ca="1" si="200"/>
        <v>-917.41270837834782</v>
      </c>
      <c r="T289" s="108">
        <f t="shared" ca="1" si="197"/>
        <v>991.34288567746262</v>
      </c>
      <c r="U289" s="108">
        <f t="shared" ca="1" si="198"/>
        <v>-1321.7924755338099</v>
      </c>
      <c r="V289" s="108">
        <f t="shared" ca="1" si="199"/>
        <v>-513.03294122288571</v>
      </c>
    </row>
    <row r="290" spans="1:27" s="14" customFormat="1" ht="15" customHeight="1" x14ac:dyDescent="0.15">
      <c r="A290" s="75">
        <f ca="1">IFERROR(IF(AND(MAX($A$114:A289)&gt;A289+1, MAX($A$114:A289)&gt;20),0,IF(AND(D290="",G290=""),0,IF(OR(D290&gt;LimitSignB10, G290&gt;LimitSignB11),A289+1,0))),"")</f>
        <v>96</v>
      </c>
      <c r="B290" s="76">
        <f ca="1">IFERROR(MyTime(INDEX(INDIRECT("input!"&amp;$B$112&amp;":"&amp;$B$112),FirstRowInput+Integration*COUNT($B$114:B289)) )* $B$110,"")</f>
        <v>3303.4606079999999</v>
      </c>
      <c r="C290" s="77">
        <f ca="1">IFERROR(AVERAGE(INDEX(INDIRECT("input!" &amp; $C$112 &amp; ":" &amp; $C$112),FirstRowInput+Integration*COUNT($B$114:B289)):INDEX(INDIRECT("input!" &amp; $C$112 &amp; ":" &amp; $C$112),FirstRowInput+Integration*COUNT($B$114:B289)+Integration-1))*$C$110,"")</f>
        <v>19963.856392286103</v>
      </c>
      <c r="D290" s="77">
        <f ca="1">IFERROR(AVERAGE(INDEX(INDIRECT("input!" &amp; $D$112 &amp; ":" &amp; $D$112),FirstRowInput+Integration*COUNT($B$114:B289)):INDEX(INDIRECT("input!" &amp; $D$112 &amp; ":" &amp; $D$112),FirstRowInput+Integration*COUNT($B$114:B289)+Integration-1))*$D$110,"")</f>
        <v>1357292.984955336</v>
      </c>
      <c r="E290" s="77">
        <f ca="1">IFERROR(AVERAGE(INDEX(INDIRECT("input!" &amp; $E$112 &amp; ":" &amp; $E$112),FirstRowInput+Integration*COUNT($B$114:B289)):INDEX(INDIRECT("input!" &amp; $E$112 &amp; ":" &amp; $E$112),FirstRowInput+Integration*COUNT($B$114:B289)+Integration-1))*$E$110,"")</f>
        <v>18975.700126109004</v>
      </c>
      <c r="F290" s="77">
        <f ca="1">IFERROR(AVERAGE(INDEX(INDIRECT("input!" &amp; $F$112 &amp; ":" &amp; $F$112),FirstRowInput+Integration*COUNT($B$114:B289)):INDEX(INDIRECT("input!" &amp; $F$112 &amp; ":" &amp; $F$112),FirstRowInput+Integration*COUNT($B$114:B289)+Integration-1))*$F$110,"")</f>
        <v>8372.6411184866738</v>
      </c>
      <c r="G290" s="77">
        <f ca="1">IFERROR(AVERAGE(INDEX(INDIRECT("input!" &amp; $G$112 &amp; ":" &amp; $G$112),FirstRowInput+Integration*COUNT($B$114:B289)):INDEX(INDIRECT("input!" &amp; $G$112 &amp; ":" &amp; $G$112),FirstRowInput+Integration*COUNT($B$114:B289)+Integration-1))*$G$110,"")</f>
        <v>6119602.2682370041</v>
      </c>
      <c r="H290" s="77">
        <f ca="1">IFERROR(AVERAGE(INDEX(INDIRECT("input!" &amp; $H$112 &amp; ":" &amp; $H$112),FirstRowInput+Integration*COUNT($B$114:B289)):INDEX(INDIRECT("input!" &amp; $H$112 &amp; ":" &amp; $H$112),FirstRowInput+Integration*COUNT($B$114:B289)+Integration-1))*$H$110,"")</f>
        <v>9379.2792315516544</v>
      </c>
      <c r="I290" s="42">
        <v>178</v>
      </c>
      <c r="J290" s="74"/>
      <c r="K290" s="183"/>
      <c r="L290" s="394"/>
      <c r="M290" s="394"/>
      <c r="N290" s="394"/>
      <c r="O290" s="394"/>
      <c r="P290" s="394"/>
      <c r="Q290" s="394"/>
      <c r="R290" s="394"/>
      <c r="S290" s="81">
        <f t="shared" ca="1" si="200"/>
        <v>3366.5323275776927</v>
      </c>
      <c r="T290" s="108">
        <f t="shared" ca="1" si="197"/>
        <v>719.89765298013663</v>
      </c>
      <c r="U290" s="108">
        <f t="shared" ca="1" si="198"/>
        <v>2873.6794163572176</v>
      </c>
      <c r="V290" s="108">
        <f t="shared" ca="1" si="199"/>
        <v>3859.3852387981678</v>
      </c>
    </row>
    <row r="291" spans="1:27" s="14" customFormat="1" ht="15" customHeight="1" x14ac:dyDescent="0.15">
      <c r="A291" s="75">
        <f ca="1">IFERROR(IF(AND(MAX($A$114:A290)&gt;A290+1, MAX($A$114:A290)&gt;20),0,IF(AND(D291="",G291=""),0,IF(OR(D291&gt;LimitSignB10, G291&gt;LimitSignB11),A290+1,0))),"")</f>
        <v>97</v>
      </c>
      <c r="B291" s="76">
        <f ca="1">IFERROR(MyTime(INDEX(INDIRECT("input!"&amp;$B$112&amp;":"&amp;$B$112),FirstRowInput+Integration*COUNT($B$114:B290)) )* $B$110,"")</f>
        <v>3303.528448</v>
      </c>
      <c r="C291" s="77">
        <f ca="1">IFERROR(AVERAGE(INDEX(INDIRECT("input!" &amp; $C$112 &amp; ":" &amp; $C$112),FirstRowInput+Integration*COUNT($B$114:B290)):INDEX(INDIRECT("input!" &amp; $C$112 &amp; ":" &amp; $C$112),FirstRowInput+Integration*COUNT($B$114:B290)+Integration-1))*$C$110,"")</f>
        <v>18497.849950335163</v>
      </c>
      <c r="D291" s="77">
        <f ca="1">IFERROR(AVERAGE(INDEX(INDIRECT("input!" &amp; $D$112 &amp; ":" &amp; $D$112),FirstRowInput+Integration*COUNT($B$114:B290)):INDEX(INDIRECT("input!" &amp; $D$112 &amp; ":" &amp; $D$112),FirstRowInput+Integration*COUNT($B$114:B290)+Integration-1))*$D$110,"")</f>
        <v>1356979.3711280229</v>
      </c>
      <c r="E291" s="77">
        <f ca="1">IFERROR(AVERAGE(INDEX(INDIRECT("input!" &amp; $E$112 &amp; ":" &amp; $E$112),FirstRowInput+Integration*COUNT($B$114:B290)):INDEX(INDIRECT("input!" &amp; $E$112 &amp; ":" &amp; $E$112),FirstRowInput+Integration*COUNT($B$114:B290)+Integration-1))*$E$110,"")</f>
        <v>18880.239870699104</v>
      </c>
      <c r="F291" s="77">
        <f ca="1">IFERROR(AVERAGE(INDEX(INDIRECT("input!" &amp; $F$112 &amp; ":" &amp; $F$112),FirstRowInput+Integration*COUNT($B$114:B290)):INDEX(INDIRECT("input!" &amp; $F$112 &amp; ":" &amp; $F$112),FirstRowInput+Integration*COUNT($B$114:B290)+Integration-1))*$F$110,"")</f>
        <v>12517.378516811314</v>
      </c>
      <c r="G291" s="77">
        <f ca="1">IFERROR(AVERAGE(INDEX(INDIRECT("input!" &amp; $G$112 &amp; ":" &amp; $G$112),FirstRowInput+Integration*COUNT($B$114:B290)):INDEX(INDIRECT("input!" &amp; $G$112 &amp; ":" &amp; $G$112),FirstRowInput+Integration*COUNT($B$114:B290)+Integration-1))*$G$110,"")</f>
        <v>6128252.8941478422</v>
      </c>
      <c r="H291" s="77">
        <f ca="1">IFERROR(AVERAGE(INDEX(INDIRECT("input!" &amp; $H$112 &amp; ":" &amp; $H$112),FirstRowInput+Integration*COUNT($B$114:B290)):INDEX(INDIRECT("input!" &amp; $H$112 &amp; ":" &amp; $H$112),FirstRowInput+Integration*COUNT($B$114:B290)+Integration-1))*$H$110,"")</f>
        <v>26272.203994099316</v>
      </c>
      <c r="I291" s="42">
        <v>179</v>
      </c>
      <c r="J291" s="74"/>
      <c r="K291" s="183"/>
      <c r="L291" s="394"/>
      <c r="M291" s="394"/>
      <c r="N291" s="394"/>
      <c r="O291" s="394"/>
      <c r="P291" s="394"/>
      <c r="Q291" s="394"/>
      <c r="R291" s="394"/>
      <c r="S291" s="81">
        <f t="shared" ca="1" si="200"/>
        <v>4650.3650497824437</v>
      </c>
      <c r="T291" s="108">
        <f t="shared" ca="1" si="197"/>
        <v>378.05599037300999</v>
      </c>
      <c r="U291" s="108">
        <f t="shared" ca="1" si="198"/>
        <v>4007.3619840127376</v>
      </c>
      <c r="V291" s="108">
        <f t="shared" ca="1" si="199"/>
        <v>5293.3681155521499</v>
      </c>
    </row>
    <row r="292" spans="1:27" s="14" customFormat="1" ht="15" customHeight="1" x14ac:dyDescent="0.15">
      <c r="A292" s="75">
        <f ca="1">IFERROR(IF(AND(MAX($A$114:A291)&gt;A291+1, MAX($A$114:A291)&gt;20),0,IF(AND(D292="",G292=""),0,IF(OR(D292&gt;LimitSignB10, G292&gt;LimitSignB11),A291+1,0))),"")</f>
        <v>98</v>
      </c>
      <c r="B292" s="76">
        <f ca="1">IFERROR(MyTime(INDEX(INDIRECT("input!"&amp;$B$112&amp;":"&amp;$B$112),FirstRowInput+Integration*COUNT($B$114:B291)) )* $B$110,"")</f>
        <v>3303.5965440000004</v>
      </c>
      <c r="C292" s="77">
        <f ca="1">IFERROR(AVERAGE(INDEX(INDIRECT("input!" &amp; $C$112 &amp; ":" &amp; $C$112),FirstRowInput+Integration*COUNT($B$114:B291)):INDEX(INDIRECT("input!" &amp; $C$112 &amp; ":" &amp; $C$112),FirstRowInput+Integration*COUNT($B$114:B291)+Integration-1))*$C$110,"")</f>
        <v>17154.196542193902</v>
      </c>
      <c r="D292" s="77">
        <f ca="1">IFERROR(AVERAGE(INDEX(INDIRECT("input!" &amp; $D$112 &amp; ":" &amp; $D$112),FirstRowInput+Integration*COUNT($B$114:B291)):INDEX(INDIRECT("input!" &amp; $D$112 &amp; ":" &amp; $D$112),FirstRowInput+Integration*COUNT($B$114:B291)+Integration-1))*$D$110,"")</f>
        <v>1363138.4299574434</v>
      </c>
      <c r="E292" s="77">
        <f ca="1">IFERROR(AVERAGE(INDEX(INDIRECT("input!" &amp; $E$112 &amp; ":" &amp; $E$112),FirstRowInput+Integration*COUNT($B$114:B291)):INDEX(INDIRECT("input!" &amp; $E$112 &amp; ":" &amp; $E$112),FirstRowInput+Integration*COUNT($B$114:B291)+Integration-1))*$E$110,"")</f>
        <v>18292.016800894758</v>
      </c>
      <c r="F292" s="77">
        <f ca="1">IFERROR(AVERAGE(INDEX(INDIRECT("input!" &amp; $F$112 &amp; ":" &amp; $F$112),FirstRowInput+Integration*COUNT($B$114:B291)):INDEX(INDIRECT("input!" &amp; $F$112 &amp; ":" &amp; $F$112),FirstRowInput+Integration*COUNT($B$114:B291)+Integration-1))*$F$110,"")</f>
        <v>19904.413508016645</v>
      </c>
      <c r="G292" s="77">
        <f ca="1">IFERROR(AVERAGE(INDEX(INDIRECT("input!" &amp; $G$112 &amp; ":" &amp; $G$112),FirstRowInput+Integration*COUNT($B$114:B291)):INDEX(INDIRECT("input!" &amp; $G$112 &amp; ":" &amp; $G$112),FirstRowInput+Integration*COUNT($B$114:B291)+Integration-1))*$G$110,"")</f>
        <v>6151455.9342747517</v>
      </c>
      <c r="H292" s="77">
        <f ca="1">IFERROR(AVERAGE(INDEX(INDIRECT("input!" &amp; $H$112 &amp; ":" &amp; $H$112),FirstRowInput+Integration*COUNT($B$114:B291)):INDEX(INDIRECT("input!" &amp; $H$112 &amp; ":" &amp; $H$112),FirstRowInput+Integration*COUNT($B$114:B291)+Integration-1))*$H$110,"")</f>
        <v>9122.4003781420852</v>
      </c>
      <c r="I292" s="42">
        <v>180</v>
      </c>
      <c r="J292" s="74"/>
      <c r="K292" s="183"/>
      <c r="L292" s="394"/>
      <c r="M292" s="394"/>
      <c r="N292" s="394"/>
      <c r="O292" s="394"/>
      <c r="P292" s="394"/>
      <c r="Q292" s="394"/>
      <c r="R292" s="394"/>
      <c r="S292" s="81">
        <f t="shared" ca="1" si="200"/>
        <v>1525.7033459239456</v>
      </c>
      <c r="T292" s="108">
        <f t="shared" ca="1" si="197"/>
        <v>82.406221673045366</v>
      </c>
      <c r="U292" s="108">
        <f t="shared" ca="1" si="198"/>
        <v>1862.0848889939407</v>
      </c>
      <c r="V292" s="108">
        <f t="shared" ca="1" si="199"/>
        <v>1189.3218028539504</v>
      </c>
    </row>
    <row r="293" spans="1:27" s="14" customFormat="1" ht="15" customHeight="1" x14ac:dyDescent="0.15">
      <c r="A293" s="75">
        <f ca="1">IFERROR(IF(AND(MAX($A$114:A292)&gt;A292+1, MAX($A$114:A292)&gt;20),0,IF(AND(D293="",G293=""),0,IF(OR(D293&gt;LimitSignB10, G293&gt;LimitSignB11),A292+1,0))),"")</f>
        <v>99</v>
      </c>
      <c r="B293" s="76">
        <f ca="1">IFERROR(MyTime(INDEX(INDIRECT("input!"&amp;$B$112&amp;":"&amp;$B$112),FirstRowInput+Integration*COUNT($B$114:B292)) )* $B$110,"")</f>
        <v>3303.6646400000004</v>
      </c>
      <c r="C293" s="77">
        <f ca="1">IFERROR(AVERAGE(INDEX(INDIRECT("input!" &amp; $C$112 &amp; ":" &amp; $C$112),FirstRowInput+Integration*COUNT($B$114:B292)):INDEX(INDIRECT("input!" &amp; $C$112 &amp; ":" &amp; $C$112),FirstRowInput+Integration*COUNT($B$114:B292)+Integration-1))*$C$110,"")</f>
        <v>20541.245697130205</v>
      </c>
      <c r="D293" s="77">
        <f ca="1">IFERROR(AVERAGE(INDEX(INDIRECT("input!" &amp; $D$112 &amp; ":" &amp; $D$112),FirstRowInput+Integration*COUNT($B$114:B292)):INDEX(INDIRECT("input!" &amp; $D$112 &amp; ":" &amp; $D$112),FirstRowInput+Integration*COUNT($B$114:B292)+Integration-1))*$D$110,"")</f>
        <v>1373064.5424490736</v>
      </c>
      <c r="E293" s="77">
        <f ca="1">IFERROR(AVERAGE(INDEX(INDIRECT("input!" &amp; $E$112 &amp; ":" &amp; $E$112),FirstRowInput+Integration*COUNT($B$114:B292)):INDEX(INDIRECT("input!" &amp; $E$112 &amp; ":" &amp; $E$112),FirstRowInput+Integration*COUNT($B$114:B292)+Integration-1))*$E$110,"")</f>
        <v>18288.940333299168</v>
      </c>
      <c r="F293" s="77">
        <f ca="1">IFERROR(AVERAGE(INDEX(INDIRECT("input!" &amp; $F$112 &amp; ":" &amp; $F$112),FirstRowInput+Integration*COUNT($B$114:B292)):INDEX(INDIRECT("input!" &amp; $F$112 &amp; ":" &amp; $F$112),FirstRowInput+Integration*COUNT($B$114:B292)+Integration-1))*$F$110,"")</f>
        <v>11773.688821453228</v>
      </c>
      <c r="G293" s="77">
        <f ca="1">IFERROR(AVERAGE(INDEX(INDIRECT("input!" &amp; $G$112 &amp; ":" &amp; $G$112),FirstRowInput+Integration*COUNT($B$114:B292)):INDEX(INDIRECT("input!" &amp; $G$112 &amp; ":" &amp; $G$112),FirstRowInput+Integration*COUNT($B$114:B292)+Integration-1))*$G$110,"")</f>
        <v>6180913.2563136509</v>
      </c>
      <c r="H293" s="77">
        <f ca="1">IFERROR(AVERAGE(INDEX(INDIRECT("input!" &amp; $H$112 &amp; ":" &amp; $H$112),FirstRowInput+Integration*COUNT($B$114:B292)):INDEX(INDIRECT("input!" &amp; $H$112 &amp; ":" &amp; $H$112),FirstRowInput+Integration*COUNT($B$114:B292)+Integration-1))*$H$110,"")</f>
        <v>13681.227861813595</v>
      </c>
      <c r="I293" s="42">
        <v>181</v>
      </c>
      <c r="J293" s="74"/>
      <c r="K293" s="183"/>
      <c r="L293" s="394"/>
      <c r="M293" s="394"/>
      <c r="N293" s="394"/>
      <c r="O293" s="394"/>
      <c r="P293" s="394"/>
      <c r="Q293" s="394"/>
      <c r="R293" s="394"/>
      <c r="S293" s="81">
        <f t="shared" ca="1" si="200"/>
        <v>144.03736928777471</v>
      </c>
      <c r="T293" s="108">
        <f t="shared" ca="1" si="197"/>
        <v>412.67872558103045</v>
      </c>
      <c r="U293" s="108">
        <f t="shared" ca="1" si="198"/>
        <v>-1082.4968589548134</v>
      </c>
      <c r="V293" s="108">
        <f t="shared" ca="1" si="199"/>
        <v>1370.5715975303629</v>
      </c>
    </row>
    <row r="294" spans="1:27" s="14" customFormat="1" ht="15" customHeight="1" x14ac:dyDescent="0.15">
      <c r="A294" s="75">
        <f ca="1">IFERROR(IF(AND(MAX($A$114:A293)&gt;A293+1, MAX($A$114:A293)&gt;20),0,IF(AND(D294="",G294=""),0,IF(OR(D294&gt;LimitSignB10, G294&gt;LimitSignB11),A293+1,0))),"")</f>
        <v>100</v>
      </c>
      <c r="B294" s="76">
        <f ca="1">IFERROR(MyTime(INDEX(INDIRECT("input!"&amp;$B$112&amp;":"&amp;$B$112),FirstRowInput+Integration*COUNT($B$114:B293)) )* $B$110,"")</f>
        <v>3303.7329920000002</v>
      </c>
      <c r="C294" s="77">
        <f ca="1">IFERROR(AVERAGE(INDEX(INDIRECT("input!" &amp; $C$112 &amp; ":" &amp; $C$112),FirstRowInput+Integration*COUNT($B$114:B293)):INDEX(INDIRECT("input!" &amp; $C$112 &amp; ":" &amp; $C$112),FirstRowInput+Integration*COUNT($B$114:B293)+Integration-1))*$C$110,"")</f>
        <v>22938.29164107599</v>
      </c>
      <c r="D294" s="77">
        <f ca="1">IFERROR(AVERAGE(INDEX(INDIRECT("input!" &amp; $D$112 &amp; ":" &amp; $D$112),FirstRowInput+Integration*COUNT($B$114:B293)):INDEX(INDIRECT("input!" &amp; $D$112 &amp; ":" &amp; $D$112),FirstRowInput+Integration*COUNT($B$114:B293)+Integration-1))*$D$110,"")</f>
        <v>1374856.2367247387</v>
      </c>
      <c r="E294" s="77">
        <f ca="1">IFERROR(AVERAGE(INDEX(INDIRECT("input!" &amp; $E$112 &amp; ":" &amp; $E$112),FirstRowInput+Integration*COUNT($B$114:B293)):INDEX(INDIRECT("input!" &amp; $E$112 &amp; ":" &amp; $E$112),FirstRowInput+Integration*COUNT($B$114:B293)+Integration-1))*$E$110,"")</f>
        <v>18952.561808710732</v>
      </c>
      <c r="F294" s="77">
        <f ca="1">IFERROR(AVERAGE(INDEX(INDIRECT("input!" &amp; $F$112 &amp; ":" &amp; $F$112),FirstRowInput+Integration*COUNT($B$114:B293)):INDEX(INDIRECT("input!" &amp; $F$112 &amp; ":" &amp; $F$112),FirstRowInput+Integration*COUNT($B$114:B293)+Integration-1))*$F$110,"")</f>
        <v>6081.5472317549229</v>
      </c>
      <c r="G294" s="77">
        <f ca="1">IFERROR(AVERAGE(INDEX(INDIRECT("input!" &amp; $G$112 &amp; ":" &amp; $G$112),FirstRowInput+Integration*COUNT($B$114:B293)):INDEX(INDIRECT("input!" &amp; $G$112 &amp; ":" &amp; $G$112),FirstRowInput+Integration*COUNT($B$114:B293)+Integration-1))*$G$110,"")</f>
        <v>6188510.7071753591</v>
      </c>
      <c r="H294" s="77">
        <f ca="1">IFERROR(AVERAGE(INDEX(INDIRECT("input!" &amp; $H$112 &amp; ":" &amp; $H$112),FirstRowInput+Integration*COUNT($B$114:B293)):INDEX(INDIRECT("input!" &amp; $H$112 &amp; ":" &amp; $H$112),FirstRowInput+Integration*COUNT($B$114:B293)+Integration-1))*$H$110,"")</f>
        <v>13960.065056004725</v>
      </c>
      <c r="I294" s="42">
        <v>182</v>
      </c>
      <c r="J294" s="74"/>
      <c r="K294" s="183"/>
      <c r="L294" s="394"/>
      <c r="M294" s="394"/>
      <c r="N294" s="394"/>
      <c r="O294" s="394"/>
      <c r="P294" s="394"/>
      <c r="Q294" s="394"/>
      <c r="R294" s="394"/>
      <c r="S294" s="81">
        <f t="shared" ca="1" si="200"/>
        <v>-700.24621841491626</v>
      </c>
      <c r="T294" s="108">
        <f t="shared" ca="1" si="197"/>
        <v>1024.7658699954991</v>
      </c>
      <c r="U294" s="108">
        <f t="shared" ca="1" si="198"/>
        <v>-2148.357216785007</v>
      </c>
      <c r="V294" s="108">
        <f t="shared" ca="1" si="199"/>
        <v>747.86477995517453</v>
      </c>
    </row>
    <row r="295" spans="1:27" s="14" customFormat="1" ht="15" customHeight="1" x14ac:dyDescent="0.15">
      <c r="A295" s="75">
        <f ca="1">IFERROR(IF(AND(MAX($A$114:A294)&gt;A294+1, MAX($A$114:A294)&gt;20),0,IF(AND(D295="",G295=""),0,IF(OR(D295&gt;LimitSignB10, G295&gt;LimitSignB11),A294+1,0))),"")</f>
        <v>101</v>
      </c>
      <c r="B295" s="76">
        <f ca="1">IFERROR(MyTime(INDEX(INDIRECT("input!"&amp;$B$112&amp;":"&amp;$B$112),FirstRowInput+Integration*COUNT($B$114:B294)) )* $B$110,"")</f>
        <v>3303.8010880000002</v>
      </c>
      <c r="C295" s="77">
        <f ca="1">IFERROR(AVERAGE(INDEX(INDIRECT("input!" &amp; $C$112 &amp; ":" &amp; $C$112),FirstRowInput+Integration*COUNT($B$114:B294)):INDEX(INDIRECT("input!" &amp; $C$112 &amp; ":" &amp; $C$112),FirstRowInput+Integration*COUNT($B$114:B294)+Integration-1))*$C$110,"")</f>
        <v>21112.091506522975</v>
      </c>
      <c r="D295" s="77">
        <f ca="1">IFERROR(AVERAGE(INDEX(INDIRECT("input!" &amp; $D$112 &amp; ":" &amp; $D$112),FirstRowInput+Integration*COUNT($B$114:B294)):INDEX(INDIRECT("input!" &amp; $D$112 &amp; ":" &amp; $D$112),FirstRowInput+Integration*COUNT($B$114:B294)+Integration-1))*$D$110,"")</f>
        <v>1369145.212983082</v>
      </c>
      <c r="E295" s="77">
        <f ca="1">IFERROR(AVERAGE(INDEX(INDIRECT("input!" &amp; $E$112 &amp; ":" &amp; $E$112),FirstRowInput+Integration*COUNT($B$114:B294)):INDEX(INDIRECT("input!" &amp; $E$112 &amp; ":" &amp; $E$112),FirstRowInput+Integration*COUNT($B$114:B294)+Integration-1))*$E$110,"")</f>
        <v>19513.114622128109</v>
      </c>
      <c r="F295" s="77">
        <f ca="1">IFERROR(AVERAGE(INDEX(INDIRECT("input!" &amp; $F$112 &amp; ":" &amp; $F$112),FirstRowInput+Integration*COUNT($B$114:B294)):INDEX(INDIRECT("input!" &amp; $F$112 &amp; ":" &amp; $F$112),FirstRowInput+Integration*COUNT($B$114:B294)+Integration-1))*$F$110,"")</f>
        <v>11070.668264170381</v>
      </c>
      <c r="G295" s="77">
        <f ca="1">IFERROR(AVERAGE(INDEX(INDIRECT("input!" &amp; $G$112 &amp; ":" &amp; $G$112),FirstRowInput+Integration*COUNT($B$114:B294)):INDEX(INDIRECT("input!" &amp; $G$112 &amp; ":" &amp; $G$112),FirstRowInput+Integration*COUNT($B$114:B294)+Integration-1))*$G$110,"")</f>
        <v>6168300.4875889737</v>
      </c>
      <c r="H295" s="77">
        <f ca="1">IFERROR(AVERAGE(INDEX(INDIRECT("input!" &amp; $H$112 &amp; ":" &amp; $H$112),FirstRowInput+Integration*COUNT($B$114:B294)):INDEX(INDIRECT("input!" &amp; $H$112 &amp; ":" &amp; $H$112),FirstRowInput+Integration*COUNT($B$114:B294)+Integration-1))*$H$110,"")</f>
        <v>9666.1497621713224</v>
      </c>
      <c r="I295" s="42">
        <v>183</v>
      </c>
      <c r="J295" s="74"/>
      <c r="K295" s="183"/>
      <c r="L295" s="394"/>
      <c r="M295" s="394"/>
      <c r="N295" s="394"/>
      <c r="O295" s="394"/>
      <c r="P295" s="394"/>
      <c r="Q295" s="394"/>
      <c r="R295" s="394"/>
      <c r="S295" s="81">
        <f t="shared" ca="1" si="200"/>
        <v>-526.44478376940242</v>
      </c>
      <c r="T295" s="108">
        <f t="shared" ca="1" si="197"/>
        <v>1305.0422767041891</v>
      </c>
      <c r="U295" s="108">
        <f t="shared" ca="1" si="198"/>
        <v>346.20329942272292</v>
      </c>
      <c r="V295" s="108">
        <f t="shared" ca="1" si="199"/>
        <v>-1399.0928669615278</v>
      </c>
    </row>
    <row r="296" spans="1:27" s="14" customFormat="1" ht="15" customHeight="1" x14ac:dyDescent="0.15">
      <c r="A296" s="75">
        <f ca="1">IFERROR(IF(AND(MAX($A$114:A295)&gt;A295+1, MAX($A$114:A295)&gt;20),0,IF(AND(D296="",G296=""),0,IF(OR(D296&gt;LimitSignB10, G296&gt;LimitSignB11),A295+1,0))),"")</f>
        <v>0</v>
      </c>
      <c r="B296" s="76" t="str">
        <f ca="1">IFERROR(MyTime(INDEX(INDIRECT("input!"&amp;$B$112&amp;":"&amp;$B$112),FirstRowInput+Integration*COUNT($B$114:B295)) )* $B$110,"")</f>
        <v/>
      </c>
      <c r="C296" s="77" t="str">
        <f ca="1">IFERROR(AVERAGE(INDEX(INDIRECT("input!" &amp; $C$112 &amp; ":" &amp; $C$112),FirstRowInput+Integration*COUNT($B$114:B295)):INDEX(INDIRECT("input!" &amp; $C$112 &amp; ":" &amp; $C$112),FirstRowInput+Integration*COUNT($B$114:B295)+Integration-1))*$C$110,"")</f>
        <v/>
      </c>
      <c r="D296" s="77" t="str">
        <f ca="1">IFERROR(AVERAGE(INDEX(INDIRECT("input!" &amp; $D$112 &amp; ":" &amp; $D$112),FirstRowInput+Integration*COUNT($B$114:B295)):INDEX(INDIRECT("input!" &amp; $D$112 &amp; ":" &amp; $D$112),FirstRowInput+Integration*COUNT($B$114:B295)+Integration-1))*$D$110,"")</f>
        <v/>
      </c>
      <c r="E296" s="77" t="str">
        <f ca="1">IFERROR(AVERAGE(INDEX(INDIRECT("input!" &amp; $E$112 &amp; ":" &amp; $E$112),FirstRowInput+Integration*COUNT($B$114:B295)):INDEX(INDIRECT("input!" &amp; $E$112 &amp; ":" &amp; $E$112),FirstRowInput+Integration*COUNT($B$114:B295)+Integration-1))*$E$110,"")</f>
        <v/>
      </c>
      <c r="F296" s="77" t="str">
        <f ca="1">IFERROR(AVERAGE(INDEX(INDIRECT("input!" &amp; $F$112 &amp; ":" &amp; $F$112),FirstRowInput+Integration*COUNT($B$114:B295)):INDEX(INDIRECT("input!" &amp; $F$112 &amp; ":" &amp; $F$112),FirstRowInput+Integration*COUNT($B$114:B295)+Integration-1))*$F$110,"")</f>
        <v/>
      </c>
      <c r="G296" s="77" t="str">
        <f ca="1">IFERROR(AVERAGE(INDEX(INDIRECT("input!" &amp; $G$112 &amp; ":" &amp; $G$112),FirstRowInput+Integration*COUNT($B$114:B295)):INDEX(INDIRECT("input!" &amp; $G$112 &amp; ":" &amp; $G$112),FirstRowInput+Integration*COUNT($B$114:B295)+Integration-1))*$G$110,"")</f>
        <v/>
      </c>
      <c r="H296" s="77" t="str">
        <f ca="1">IFERROR(AVERAGE(INDEX(INDIRECT("input!" &amp; $H$112 &amp; ":" &amp; $H$112),FirstRowInput+Integration*COUNT($B$114:B295)):INDEX(INDIRECT("input!" &amp; $H$112 &amp; ":" &amp; $H$112),FirstRowInput+Integration*COUNT($B$114:B295)+Integration-1))*$H$110,"")</f>
        <v/>
      </c>
      <c r="I296" s="42">
        <v>184</v>
      </c>
      <c r="J296" s="74"/>
      <c r="K296" s="183"/>
      <c r="L296" s="394"/>
      <c r="M296" s="394"/>
      <c r="N296" s="394"/>
      <c r="O296" s="394"/>
      <c r="P296" s="394"/>
      <c r="Q296" s="394"/>
      <c r="R296" s="394"/>
      <c r="S296" s="108"/>
      <c r="U296" s="108"/>
    </row>
    <row r="297" spans="1:27" s="14" customFormat="1" ht="15" customHeight="1" x14ac:dyDescent="0.15">
      <c r="A297" s="75">
        <f ca="1">IFERROR(IF(AND(MAX($A$114:A296)&gt;A296+1, MAX($A$114:A296)&gt;20),0,IF(AND(D297="",G297=""),0,IF(OR(D297&gt;LimitSignB10, G297&gt;LimitSignB11),A296+1,0))),"")</f>
        <v>0</v>
      </c>
      <c r="B297" s="76" t="str">
        <f ca="1">IFERROR(MyTime(INDEX(INDIRECT("input!"&amp;$B$112&amp;":"&amp;$B$112),FirstRowInput+Integration*COUNT($B$114:B296)) )* $B$110,"")</f>
        <v/>
      </c>
      <c r="C297" s="77" t="str">
        <f ca="1">IFERROR(AVERAGE(INDEX(INDIRECT("input!" &amp; $C$112 &amp; ":" &amp; $C$112),FirstRowInput+Integration*COUNT($B$114:B296)):INDEX(INDIRECT("input!" &amp; $C$112 &amp; ":" &amp; $C$112),FirstRowInput+Integration*COUNT($B$114:B296)+Integration-1))*$C$110,"")</f>
        <v/>
      </c>
      <c r="D297" s="77" t="str">
        <f ca="1">IFERROR(AVERAGE(INDEX(INDIRECT("input!" &amp; $D$112 &amp; ":" &amp; $D$112),FirstRowInput+Integration*COUNT($B$114:B296)):INDEX(INDIRECT("input!" &amp; $D$112 &amp; ":" &amp; $D$112),FirstRowInput+Integration*COUNT($B$114:B296)+Integration-1))*$D$110,"")</f>
        <v/>
      </c>
      <c r="E297" s="77" t="str">
        <f ca="1">IFERROR(AVERAGE(INDEX(INDIRECT("input!" &amp; $E$112 &amp; ":" &amp; $E$112),FirstRowInput+Integration*COUNT($B$114:B296)):INDEX(INDIRECT("input!" &amp; $E$112 &amp; ":" &amp; $E$112),FirstRowInput+Integration*COUNT($B$114:B296)+Integration-1))*$E$110,"")</f>
        <v/>
      </c>
      <c r="F297" s="77" t="str">
        <f ca="1">IFERROR(AVERAGE(INDEX(INDIRECT("input!" &amp; $F$112 &amp; ":" &amp; $F$112),FirstRowInput+Integration*COUNT($B$114:B296)):INDEX(INDIRECT("input!" &amp; $F$112 &amp; ":" &amp; $F$112),FirstRowInput+Integration*COUNT($B$114:B296)+Integration-1))*$F$110,"")</f>
        <v/>
      </c>
      <c r="G297" s="77" t="str">
        <f ca="1">IFERROR(AVERAGE(INDEX(INDIRECT("input!" &amp; $G$112 &amp; ":" &amp; $G$112),FirstRowInput+Integration*COUNT($B$114:B296)):INDEX(INDIRECT("input!" &amp; $G$112 &amp; ":" &amp; $G$112),FirstRowInput+Integration*COUNT($B$114:B296)+Integration-1))*$G$110,"")</f>
        <v/>
      </c>
      <c r="H297" s="77" t="str">
        <f ca="1">IFERROR(AVERAGE(INDEX(INDIRECT("input!" &amp; $H$112 &amp; ":" &amp; $H$112),FirstRowInput+Integration*COUNT($B$114:B296)):INDEX(INDIRECT("input!" &amp; $H$112 &amp; ":" &amp; $H$112),FirstRowInput+Integration*COUNT($B$114:B296)+Integration-1))*$H$110,"")</f>
        <v/>
      </c>
      <c r="I297" s="42">
        <v>185</v>
      </c>
      <c r="J297" s="74"/>
      <c r="K297" s="183"/>
      <c r="L297" s="394"/>
      <c r="M297" s="394"/>
      <c r="N297" s="394"/>
      <c r="O297" s="394"/>
      <c r="P297" s="394"/>
      <c r="Q297" s="394"/>
      <c r="R297" s="394"/>
      <c r="S297" s="108"/>
      <c r="U297" s="108"/>
    </row>
    <row r="298" spans="1:27" s="14" customFormat="1" ht="15" customHeight="1" x14ac:dyDescent="0.15">
      <c r="A298" s="75">
        <f ca="1">IFERROR(IF(AND(MAX($A$114:A297)&gt;A297+1, MAX($A$114:A297)&gt;20),0,IF(AND(D298="",G298=""),0,IF(OR(D298&gt;LimitSignB10, G298&gt;LimitSignB11),A297+1,0))),"")</f>
        <v>0</v>
      </c>
      <c r="B298" s="76" t="str">
        <f ca="1">IFERROR(MyTime(INDEX(INDIRECT("input!"&amp;$B$112&amp;":"&amp;$B$112),FirstRowInput+Integration*COUNT($B$114:B297)) )* $B$110,"")</f>
        <v/>
      </c>
      <c r="C298" s="77" t="str">
        <f ca="1">IFERROR(AVERAGE(INDEX(INDIRECT("input!" &amp; $C$112 &amp; ":" &amp; $C$112),FirstRowInput+Integration*COUNT($B$114:B297)):INDEX(INDIRECT("input!" &amp; $C$112 &amp; ":" &amp; $C$112),FirstRowInput+Integration*COUNT($B$114:B297)+Integration-1))*$C$110,"")</f>
        <v/>
      </c>
      <c r="D298" s="77" t="str">
        <f ca="1">IFERROR(AVERAGE(INDEX(INDIRECT("input!" &amp; $D$112 &amp; ":" &amp; $D$112),FirstRowInput+Integration*COUNT($B$114:B297)):INDEX(INDIRECT("input!" &amp; $D$112 &amp; ":" &amp; $D$112),FirstRowInput+Integration*COUNT($B$114:B297)+Integration-1))*$D$110,"")</f>
        <v/>
      </c>
      <c r="E298" s="77" t="str">
        <f ca="1">IFERROR(AVERAGE(INDEX(INDIRECT("input!" &amp; $E$112 &amp; ":" &amp; $E$112),FirstRowInput+Integration*COUNT($B$114:B297)):INDEX(INDIRECT("input!" &amp; $E$112 &amp; ":" &amp; $E$112),FirstRowInput+Integration*COUNT($B$114:B297)+Integration-1))*$E$110,"")</f>
        <v/>
      </c>
      <c r="F298" s="77" t="str">
        <f ca="1">IFERROR(AVERAGE(INDEX(INDIRECT("input!" &amp; $F$112 &amp; ":" &amp; $F$112),FirstRowInput+Integration*COUNT($B$114:B297)):INDEX(INDIRECT("input!" &amp; $F$112 &amp; ":" &amp; $F$112),FirstRowInput+Integration*COUNT($B$114:B297)+Integration-1))*$F$110,"")</f>
        <v/>
      </c>
      <c r="G298" s="77" t="str">
        <f ca="1">IFERROR(AVERAGE(INDEX(INDIRECT("input!" &amp; $G$112 &amp; ":" &amp; $G$112),FirstRowInput+Integration*COUNT($B$114:B297)):INDEX(INDIRECT("input!" &amp; $G$112 &amp; ":" &amp; $G$112),FirstRowInput+Integration*COUNT($B$114:B297)+Integration-1))*$G$110,"")</f>
        <v/>
      </c>
      <c r="H298" s="77" t="str">
        <f ca="1">IFERROR(AVERAGE(INDEX(INDIRECT("input!" &amp; $H$112 &amp; ":" &amp; $H$112),FirstRowInput+Integration*COUNT($B$114:B297)):INDEX(INDIRECT("input!" &amp; $H$112 &amp; ":" &amp; $H$112),FirstRowInput+Integration*COUNT($B$114:B297)+Integration-1))*$H$110,"")</f>
        <v/>
      </c>
      <c r="I298" s="42">
        <v>186</v>
      </c>
      <c r="J298" s="74"/>
      <c r="K298" s="183"/>
      <c r="L298" s="394"/>
      <c r="M298" s="394"/>
      <c r="N298" s="394"/>
      <c r="O298" s="394"/>
      <c r="P298" s="394"/>
      <c r="Q298" s="394"/>
      <c r="R298" s="394"/>
      <c r="S298" s="108"/>
      <c r="U298" s="108"/>
    </row>
    <row r="299" spans="1:27" s="14" customFormat="1" ht="15" customHeight="1" x14ac:dyDescent="0.15">
      <c r="A299" s="75">
        <f ca="1">IFERROR(IF(AND(MAX($A$114:A298)&gt;A298+1, MAX($A$114:A298)&gt;20),0,IF(AND(D299="",G299=""),0,IF(OR(D299&gt;LimitSignB10, G299&gt;LimitSignB11),A298+1,0))),"")</f>
        <v>0</v>
      </c>
      <c r="B299" s="76" t="str">
        <f ca="1">IFERROR(MyTime(INDEX(INDIRECT("input!"&amp;$B$112&amp;":"&amp;$B$112),FirstRowInput+Integration*COUNT($B$114:B298)) )* $B$110,"")</f>
        <v/>
      </c>
      <c r="C299" s="77" t="str">
        <f ca="1">IFERROR(AVERAGE(INDEX(INDIRECT("input!" &amp; $C$112 &amp; ":" &amp; $C$112),FirstRowInput+Integration*COUNT($B$114:B298)):INDEX(INDIRECT("input!" &amp; $C$112 &amp; ":" &amp; $C$112),FirstRowInput+Integration*COUNT($B$114:B298)+Integration-1))*$C$110,"")</f>
        <v/>
      </c>
      <c r="D299" s="77" t="str">
        <f ca="1">IFERROR(AVERAGE(INDEX(INDIRECT("input!" &amp; $D$112 &amp; ":" &amp; $D$112),FirstRowInput+Integration*COUNT($B$114:B298)):INDEX(INDIRECT("input!" &amp; $D$112 &amp; ":" &amp; $D$112),FirstRowInput+Integration*COUNT($B$114:B298)+Integration-1))*$D$110,"")</f>
        <v/>
      </c>
      <c r="E299" s="77" t="str">
        <f ca="1">IFERROR(AVERAGE(INDEX(INDIRECT("input!" &amp; $E$112 &amp; ":" &amp; $E$112),FirstRowInput+Integration*COUNT($B$114:B298)):INDEX(INDIRECT("input!" &amp; $E$112 &amp; ":" &amp; $E$112),FirstRowInput+Integration*COUNT($B$114:B298)+Integration-1))*$E$110,"")</f>
        <v/>
      </c>
      <c r="F299" s="77" t="str">
        <f ca="1">IFERROR(AVERAGE(INDEX(INDIRECT("input!" &amp; $F$112 &amp; ":" &amp; $F$112),FirstRowInput+Integration*COUNT($B$114:B298)):INDEX(INDIRECT("input!" &amp; $F$112 &amp; ":" &amp; $F$112),FirstRowInput+Integration*COUNT($B$114:B298)+Integration-1))*$F$110,"")</f>
        <v/>
      </c>
      <c r="G299" s="77" t="str">
        <f ca="1">IFERROR(AVERAGE(INDEX(INDIRECT("input!" &amp; $G$112 &amp; ":" &amp; $G$112),FirstRowInput+Integration*COUNT($B$114:B298)):INDEX(INDIRECT("input!" &amp; $G$112 &amp; ":" &amp; $G$112),FirstRowInput+Integration*COUNT($B$114:B298)+Integration-1))*$G$110,"")</f>
        <v/>
      </c>
      <c r="H299" s="77" t="str">
        <f ca="1">IFERROR(AVERAGE(INDEX(INDIRECT("input!" &amp; $H$112 &amp; ":" &amp; $H$112),FirstRowInput+Integration*COUNT($B$114:B298)):INDEX(INDIRECT("input!" &amp; $H$112 &amp; ":" &amp; $H$112),FirstRowInput+Integration*COUNT($B$114:B298)+Integration-1))*$H$110,"")</f>
        <v/>
      </c>
      <c r="I299" s="42">
        <v>187</v>
      </c>
      <c r="J299" s="74"/>
      <c r="K299" s="183"/>
      <c r="L299" s="394"/>
      <c r="M299" s="394"/>
      <c r="N299" s="394"/>
      <c r="O299" s="394"/>
      <c r="P299" s="394"/>
      <c r="Q299" s="394"/>
      <c r="R299" s="394"/>
      <c r="S299" s="108"/>
      <c r="U299" s="108"/>
    </row>
    <row r="300" spans="1:27" s="14" customFormat="1" ht="15" customHeight="1" x14ac:dyDescent="0.15">
      <c r="A300" s="75">
        <f ca="1">IFERROR(IF(AND(MAX($A$114:A299)&gt;A299+1, MAX($A$114:A299)&gt;20),0,IF(AND(D300="",G300=""),0,IF(OR(D300&gt;LimitSignB10, G300&gt;LimitSignB11),A299+1,0))),"")</f>
        <v>0</v>
      </c>
      <c r="B300" s="76" t="str">
        <f ca="1">IFERROR(MyTime(INDEX(INDIRECT("input!"&amp;$B$112&amp;":"&amp;$B$112),FirstRowInput+Integration*COUNT($B$114:B299)) )* $B$110,"")</f>
        <v/>
      </c>
      <c r="C300" s="77" t="str">
        <f ca="1">IFERROR(AVERAGE(INDEX(INDIRECT("input!" &amp; $C$112 &amp; ":" &amp; $C$112),FirstRowInput+Integration*COUNT($B$114:B299)):INDEX(INDIRECT("input!" &amp; $C$112 &amp; ":" &amp; $C$112),FirstRowInput+Integration*COUNT($B$114:B299)+Integration-1))*$C$110,"")</f>
        <v/>
      </c>
      <c r="D300" s="77" t="str">
        <f ca="1">IFERROR(AVERAGE(INDEX(INDIRECT("input!" &amp; $D$112 &amp; ":" &amp; $D$112),FirstRowInput+Integration*COUNT($B$114:B299)):INDEX(INDIRECT("input!" &amp; $D$112 &amp; ":" &amp; $D$112),FirstRowInput+Integration*COUNT($B$114:B299)+Integration-1))*$D$110,"")</f>
        <v/>
      </c>
      <c r="E300" s="77" t="str">
        <f ca="1">IFERROR(AVERAGE(INDEX(INDIRECT("input!" &amp; $E$112 &amp; ":" &amp; $E$112),FirstRowInput+Integration*COUNT($B$114:B299)):INDEX(INDIRECT("input!" &amp; $E$112 &amp; ":" &amp; $E$112),FirstRowInput+Integration*COUNT($B$114:B299)+Integration-1))*$E$110,"")</f>
        <v/>
      </c>
      <c r="F300" s="77" t="str">
        <f ca="1">IFERROR(AVERAGE(INDEX(INDIRECT("input!" &amp; $F$112 &amp; ":" &amp; $F$112),FirstRowInput+Integration*COUNT($B$114:B299)):INDEX(INDIRECT("input!" &amp; $F$112 &amp; ":" &amp; $F$112),FirstRowInput+Integration*COUNT($B$114:B299)+Integration-1))*$F$110,"")</f>
        <v/>
      </c>
      <c r="G300" s="77" t="str">
        <f ca="1">IFERROR(AVERAGE(INDEX(INDIRECT("input!" &amp; $G$112 &amp; ":" &amp; $G$112),FirstRowInput+Integration*COUNT($B$114:B299)):INDEX(INDIRECT("input!" &amp; $G$112 &amp; ":" &amp; $G$112),FirstRowInput+Integration*COUNT($B$114:B299)+Integration-1))*$G$110,"")</f>
        <v/>
      </c>
      <c r="H300" s="77" t="str">
        <f ca="1">IFERROR(AVERAGE(INDEX(INDIRECT("input!" &amp; $H$112 &amp; ":" &amp; $H$112),FirstRowInput+Integration*COUNT($B$114:B299)):INDEX(INDIRECT("input!" &amp; $H$112 &amp; ":" &amp; $H$112),FirstRowInput+Integration*COUNT($B$114:B299)+Integration-1))*$H$110,"")</f>
        <v/>
      </c>
      <c r="I300" s="42">
        <v>188</v>
      </c>
      <c r="J300" s="74"/>
      <c r="K300" s="183"/>
      <c r="L300" s="394"/>
      <c r="M300" s="394"/>
      <c r="N300" s="394"/>
      <c r="O300" s="394"/>
      <c r="P300" s="394"/>
      <c r="Q300" s="394"/>
      <c r="R300" s="394"/>
      <c r="S300" s="108"/>
    </row>
    <row r="301" spans="1:27" s="14" customFormat="1" ht="15" customHeight="1" x14ac:dyDescent="0.15">
      <c r="A301" s="75">
        <f ca="1">IFERROR(IF(AND(MAX($A$114:A300)&gt;A300+1, MAX($A$114:A300)&gt;20),0,IF(AND(D301="",G301=""),0,IF(OR(D301&gt;LimitSignB10, G301&gt;LimitSignB11),A300+1,0))),"")</f>
        <v>0</v>
      </c>
      <c r="B301" s="76" t="str">
        <f ca="1">IFERROR(MyTime(INDEX(INDIRECT("input!"&amp;$B$112&amp;":"&amp;$B$112),FirstRowInput+Integration*COUNT($B$114:B300)) )* $B$110,"")</f>
        <v/>
      </c>
      <c r="C301" s="77" t="str">
        <f ca="1">IFERROR(AVERAGE(INDEX(INDIRECT("input!" &amp; $C$112 &amp; ":" &amp; $C$112),FirstRowInput+Integration*COUNT($B$114:B300)):INDEX(INDIRECT("input!" &amp; $C$112 &amp; ":" &amp; $C$112),FirstRowInput+Integration*COUNT($B$114:B300)+Integration-1))*$C$110,"")</f>
        <v/>
      </c>
      <c r="D301" s="77" t="str">
        <f ca="1">IFERROR(AVERAGE(INDEX(INDIRECT("input!" &amp; $D$112 &amp; ":" &amp; $D$112),FirstRowInput+Integration*COUNT($B$114:B300)):INDEX(INDIRECT("input!" &amp; $D$112 &amp; ":" &amp; $D$112),FirstRowInput+Integration*COUNT($B$114:B300)+Integration-1))*$D$110,"")</f>
        <v/>
      </c>
      <c r="E301" s="77" t="str">
        <f ca="1">IFERROR(AVERAGE(INDEX(INDIRECT("input!" &amp; $E$112 &amp; ":" &amp; $E$112),FirstRowInput+Integration*COUNT($B$114:B300)):INDEX(INDIRECT("input!" &amp; $E$112 &amp; ":" &amp; $E$112),FirstRowInput+Integration*COUNT($B$114:B300)+Integration-1))*$E$110,"")</f>
        <v/>
      </c>
      <c r="F301" s="77" t="str">
        <f ca="1">IFERROR(AVERAGE(INDEX(INDIRECT("input!" &amp; $F$112 &amp; ":" &amp; $F$112),FirstRowInput+Integration*COUNT($B$114:B300)):INDEX(INDIRECT("input!" &amp; $F$112 &amp; ":" &amp; $F$112),FirstRowInput+Integration*COUNT($B$114:B300)+Integration-1))*$F$110,"")</f>
        <v/>
      </c>
      <c r="G301" s="77" t="str">
        <f ca="1">IFERROR(AVERAGE(INDEX(INDIRECT("input!" &amp; $G$112 &amp; ":" &amp; $G$112),FirstRowInput+Integration*COUNT($B$114:B300)):INDEX(INDIRECT("input!" &amp; $G$112 &amp; ":" &amp; $G$112),FirstRowInput+Integration*COUNT($B$114:B300)+Integration-1))*$G$110,"")</f>
        <v/>
      </c>
      <c r="H301" s="77" t="str">
        <f ca="1">IFERROR(AVERAGE(INDEX(INDIRECT("input!" &amp; $H$112 &amp; ":" &amp; $H$112),FirstRowInput+Integration*COUNT($B$114:B300)):INDEX(INDIRECT("input!" &amp; $H$112 &amp; ":" &amp; $H$112),FirstRowInput+Integration*COUNT($B$114:B300)+Integration-1))*$H$110,"")</f>
        <v/>
      </c>
      <c r="I301" s="42">
        <v>189</v>
      </c>
      <c r="J301" s="74"/>
      <c r="K301" s="183"/>
      <c r="L301" s="394"/>
      <c r="M301" s="394"/>
      <c r="N301" s="394"/>
      <c r="O301" s="394"/>
      <c r="P301" s="394"/>
      <c r="Q301" s="394"/>
      <c r="R301" s="394"/>
      <c r="S301" s="108"/>
    </row>
    <row r="302" spans="1:27" s="14" customFormat="1" ht="15" customHeight="1" x14ac:dyDescent="0.2">
      <c r="A302" s="75">
        <f ca="1">IFERROR(IF(AND(MAX($A$114:A301)&gt;A301+1, MAX($A$114:A301)&gt;20),0,IF(AND(D302="",G302=""),0,IF(OR(D302&gt;LimitSignB10, G302&gt;LimitSignB11),A301+1,0))),"")</f>
        <v>0</v>
      </c>
      <c r="B302" s="76" t="str">
        <f ca="1">IFERROR(MyTime(INDEX(INDIRECT("input!"&amp;$B$112&amp;":"&amp;$B$112),FirstRowInput+Integration*COUNT($B$114:B301)) )* $B$110,"")</f>
        <v/>
      </c>
      <c r="C302" s="77" t="str">
        <f ca="1">IFERROR(AVERAGE(INDEX(INDIRECT("input!" &amp; $C$112 &amp; ":" &amp; $C$112),FirstRowInput+Integration*COUNT($B$114:B301)):INDEX(INDIRECT("input!" &amp; $C$112 &amp; ":" &amp; $C$112),FirstRowInput+Integration*COUNT($B$114:B301)+Integration-1))*$C$110,"")</f>
        <v/>
      </c>
      <c r="D302" s="77" t="str">
        <f ca="1">IFERROR(AVERAGE(INDEX(INDIRECT("input!" &amp; $D$112 &amp; ":" &amp; $D$112),FirstRowInput+Integration*COUNT($B$114:B301)):INDEX(INDIRECT("input!" &amp; $D$112 &amp; ":" &amp; $D$112),FirstRowInput+Integration*COUNT($B$114:B301)+Integration-1))*$D$110,"")</f>
        <v/>
      </c>
      <c r="E302" s="77" t="str">
        <f ca="1">IFERROR(AVERAGE(INDEX(INDIRECT("input!" &amp; $E$112 &amp; ":" &amp; $E$112),FirstRowInput+Integration*COUNT($B$114:B301)):INDEX(INDIRECT("input!" &amp; $E$112 &amp; ":" &amp; $E$112),FirstRowInput+Integration*COUNT($B$114:B301)+Integration-1))*$E$110,"")</f>
        <v/>
      </c>
      <c r="F302" s="77" t="str">
        <f ca="1">IFERROR(AVERAGE(INDEX(INDIRECT("input!" &amp; $F$112 &amp; ":" &amp; $F$112),FirstRowInput+Integration*COUNT($B$114:B301)):INDEX(INDIRECT("input!" &amp; $F$112 &amp; ":" &amp; $F$112),FirstRowInput+Integration*COUNT($B$114:B301)+Integration-1))*$F$110,"")</f>
        <v/>
      </c>
      <c r="G302" s="77" t="str">
        <f ca="1">IFERROR(AVERAGE(INDEX(INDIRECT("input!" &amp; $G$112 &amp; ":" &amp; $G$112),FirstRowInput+Integration*COUNT($B$114:B301)):INDEX(INDIRECT("input!" &amp; $G$112 &amp; ":" &amp; $G$112),FirstRowInput+Integration*COUNT($B$114:B301)+Integration-1))*$G$110,"")</f>
        <v/>
      </c>
      <c r="H302" s="77" t="str">
        <f ca="1">IFERROR(AVERAGE(INDEX(INDIRECT("input!" &amp; $H$112 &amp; ":" &amp; $H$112),FirstRowInput+Integration*COUNT($B$114:B301)):INDEX(INDIRECT("input!" &amp; $H$112 &amp; ":" &amp; $H$112),FirstRowInput+Integration*COUNT($B$114:B301)+Integration-1))*$H$110,"")</f>
        <v/>
      </c>
      <c r="I302" s="42">
        <v>190</v>
      </c>
      <c r="J302" s="74"/>
      <c r="K302" s="183"/>
      <c r="L302" s="394"/>
      <c r="M302" s="394"/>
      <c r="N302" s="394"/>
      <c r="O302" s="394"/>
      <c r="P302" s="394"/>
      <c r="Q302" s="394"/>
      <c r="R302" s="394"/>
      <c r="S302" s="108"/>
      <c r="U302" s="87"/>
      <c r="V302" s="87"/>
      <c r="W302" s="87"/>
      <c r="X302" s="87"/>
      <c r="Y302" s="87"/>
      <c r="Z302" s="87"/>
      <c r="AA302"/>
    </row>
    <row r="303" spans="1:27" s="14" customFormat="1" ht="15" customHeight="1" x14ac:dyDescent="0.2">
      <c r="A303" s="75">
        <f ca="1">IFERROR(IF(AND(MAX($A$114:A302)&gt;A302+1, MAX($A$114:A302)&gt;20),0,IF(AND(D303="",G303=""),0,IF(OR(D303&gt;LimitSignB10, G303&gt;LimitSignB11),A302+1,0))),"")</f>
        <v>0</v>
      </c>
      <c r="B303" s="76" t="str">
        <f ca="1">IFERROR(MyTime(INDEX(INDIRECT("input!"&amp;$B$112&amp;":"&amp;$B$112),FirstRowInput+Integration*COUNT($B$114:B302)) )* $B$110,"")</f>
        <v/>
      </c>
      <c r="C303" s="77" t="str">
        <f ca="1">IFERROR(AVERAGE(INDEX(INDIRECT("input!" &amp; $C$112 &amp; ":" &amp; $C$112),FirstRowInput+Integration*COUNT($B$114:B302)):INDEX(INDIRECT("input!" &amp; $C$112 &amp; ":" &amp; $C$112),FirstRowInput+Integration*COUNT($B$114:B302)+Integration-1))*$C$110,"")</f>
        <v/>
      </c>
      <c r="D303" s="77" t="str">
        <f ca="1">IFERROR(AVERAGE(INDEX(INDIRECT("input!" &amp; $D$112 &amp; ":" &amp; $D$112),FirstRowInput+Integration*COUNT($B$114:B302)):INDEX(INDIRECT("input!" &amp; $D$112 &amp; ":" &amp; $D$112),FirstRowInput+Integration*COUNT($B$114:B302)+Integration-1))*$D$110,"")</f>
        <v/>
      </c>
      <c r="E303" s="77" t="str">
        <f ca="1">IFERROR(AVERAGE(INDEX(INDIRECT("input!" &amp; $E$112 &amp; ":" &amp; $E$112),FirstRowInput+Integration*COUNT($B$114:B302)):INDEX(INDIRECT("input!" &amp; $E$112 &amp; ":" &amp; $E$112),FirstRowInput+Integration*COUNT($B$114:B302)+Integration-1))*$E$110,"")</f>
        <v/>
      </c>
      <c r="F303" s="77" t="str">
        <f ca="1">IFERROR(AVERAGE(INDEX(INDIRECT("input!" &amp; $F$112 &amp; ":" &amp; $F$112),FirstRowInput+Integration*COUNT($B$114:B302)):INDEX(INDIRECT("input!" &amp; $F$112 &amp; ":" &amp; $F$112),FirstRowInput+Integration*COUNT($B$114:B302)+Integration-1))*$F$110,"")</f>
        <v/>
      </c>
      <c r="G303" s="77" t="str">
        <f ca="1">IFERROR(AVERAGE(INDEX(INDIRECT("input!" &amp; $G$112 &amp; ":" &amp; $G$112),FirstRowInput+Integration*COUNT($B$114:B302)):INDEX(INDIRECT("input!" &amp; $G$112 &amp; ":" &amp; $G$112),FirstRowInput+Integration*COUNT($B$114:B302)+Integration-1))*$G$110,"")</f>
        <v/>
      </c>
      <c r="H303" s="77" t="str">
        <f ca="1">IFERROR(AVERAGE(INDEX(INDIRECT("input!" &amp; $H$112 &amp; ":" &amp; $H$112),FirstRowInput+Integration*COUNT($B$114:B302)):INDEX(INDIRECT("input!" &amp; $H$112 &amp; ":" &amp; $H$112),FirstRowInput+Integration*COUNT($B$114:B302)+Integration-1))*$H$110,"")</f>
        <v/>
      </c>
      <c r="I303" s="42">
        <v>191</v>
      </c>
      <c r="J303" s="74"/>
      <c r="K303" s="183"/>
      <c r="L303" s="394"/>
      <c r="M303" s="394"/>
      <c r="N303" s="394"/>
      <c r="O303" s="394"/>
      <c r="P303" s="394"/>
      <c r="Q303" s="394"/>
      <c r="R303" s="394"/>
      <c r="S303" s="108"/>
      <c r="U303" s="87"/>
      <c r="V303" s="87"/>
      <c r="W303" s="87"/>
      <c r="X303" s="87"/>
      <c r="Y303" s="87"/>
      <c r="Z303" s="87"/>
      <c r="AA303"/>
    </row>
    <row r="304" spans="1:27" s="14" customFormat="1" ht="15" customHeight="1" x14ac:dyDescent="0.2">
      <c r="A304" s="75">
        <f ca="1">IFERROR(IF(AND(MAX($A$114:A303)&gt;A303+1, MAX($A$114:A303)&gt;20),0,IF(AND(D304="",G304=""),0,IF(OR(D304&gt;LimitSignB10, G304&gt;LimitSignB11),A303+1,0))),"")</f>
        <v>0</v>
      </c>
      <c r="B304" s="76" t="str">
        <f ca="1">IFERROR(MyTime(INDEX(INDIRECT("input!"&amp;$B$112&amp;":"&amp;$B$112),FirstRowInput+Integration*COUNT($B$114:B303)) )* $B$110,"")</f>
        <v/>
      </c>
      <c r="C304" s="77" t="str">
        <f ca="1">IFERROR(AVERAGE(INDEX(INDIRECT("input!" &amp; $C$112 &amp; ":" &amp; $C$112),FirstRowInput+Integration*COUNT($B$114:B303)):INDEX(INDIRECT("input!" &amp; $C$112 &amp; ":" &amp; $C$112),FirstRowInput+Integration*COUNT($B$114:B303)+Integration-1))*$C$110,"")</f>
        <v/>
      </c>
      <c r="D304" s="77" t="str">
        <f ca="1">IFERROR(AVERAGE(INDEX(INDIRECT("input!" &amp; $D$112 &amp; ":" &amp; $D$112),FirstRowInput+Integration*COUNT($B$114:B303)):INDEX(INDIRECT("input!" &amp; $D$112 &amp; ":" &amp; $D$112),FirstRowInput+Integration*COUNT($B$114:B303)+Integration-1))*$D$110,"")</f>
        <v/>
      </c>
      <c r="E304" s="77" t="str">
        <f ca="1">IFERROR(AVERAGE(INDEX(INDIRECT("input!" &amp; $E$112 &amp; ":" &amp; $E$112),FirstRowInput+Integration*COUNT($B$114:B303)):INDEX(INDIRECT("input!" &amp; $E$112 &amp; ":" &amp; $E$112),FirstRowInput+Integration*COUNT($B$114:B303)+Integration-1))*$E$110,"")</f>
        <v/>
      </c>
      <c r="F304" s="77" t="str">
        <f ca="1">IFERROR(AVERAGE(INDEX(INDIRECT("input!" &amp; $F$112 &amp; ":" &amp; $F$112),FirstRowInput+Integration*COUNT($B$114:B303)):INDEX(INDIRECT("input!" &amp; $F$112 &amp; ":" &amp; $F$112),FirstRowInput+Integration*COUNT($B$114:B303)+Integration-1))*$F$110,"")</f>
        <v/>
      </c>
      <c r="G304" s="77" t="str">
        <f ca="1">IFERROR(AVERAGE(INDEX(INDIRECT("input!" &amp; $G$112 &amp; ":" &amp; $G$112),FirstRowInput+Integration*COUNT($B$114:B303)):INDEX(INDIRECT("input!" &amp; $G$112 &amp; ":" &amp; $G$112),FirstRowInput+Integration*COUNT($B$114:B303)+Integration-1))*$G$110,"")</f>
        <v/>
      </c>
      <c r="H304" s="77" t="str">
        <f ca="1">IFERROR(AVERAGE(INDEX(INDIRECT("input!" &amp; $H$112 &amp; ":" &amp; $H$112),FirstRowInput+Integration*COUNT($B$114:B303)):INDEX(INDIRECT("input!" &amp; $H$112 &amp; ":" &amp; $H$112),FirstRowInput+Integration*COUNT($B$114:B303)+Integration-1))*$H$110,"")</f>
        <v/>
      </c>
      <c r="I304" s="42">
        <v>192</v>
      </c>
      <c r="J304" s="74" t="str">
        <f t="shared" ca="1" si="196"/>
        <v/>
      </c>
      <c r="K304" s="183" t="str">
        <f t="shared" ref="K304:K306" ca="1" si="201">IFERROR(IF(OR(D304&gt;$M$111,G304&gt;$P$111,MAX(A304:A318)&gt;=15),"",1),"")</f>
        <v/>
      </c>
      <c r="L304" s="394" t="str">
        <f t="shared" ref="L304:L306" ca="1" si="202">IFERROR(IF($K304=1,C304,""),"")</f>
        <v/>
      </c>
      <c r="M304" s="394" t="str">
        <f t="shared" ref="M304:M306" ca="1" si="203">IFERROR(IF($K304=1,D304,""),"")</f>
        <v/>
      </c>
      <c r="N304" s="394" t="str">
        <f t="shared" ref="N304:N306" ca="1" si="204">IFERROR(IF($K304=1,E304,""),"")</f>
        <v/>
      </c>
      <c r="O304" s="394" t="str">
        <f t="shared" ref="O304:O307" ca="1" si="205">IFERROR(IF($K304=1,F304,""),"")</f>
        <v/>
      </c>
      <c r="P304" s="394" t="str">
        <f t="shared" ref="P304:P306" ca="1" si="206">IFERROR(IF($K304=1,G304,""),"")</f>
        <v/>
      </c>
      <c r="Q304" s="394" t="str">
        <f t="shared" ref="Q304:Q307" ca="1" si="207">IFERROR(((_10Bmass-Mass_Left)*(L304-N304)/(Mass_Left-Mass_Right)+L304),"")</f>
        <v/>
      </c>
      <c r="R304" s="394" t="str">
        <f t="shared" ref="R304:R306" ca="1" si="208">IFERROR(P304/Q304,"")</f>
        <v/>
      </c>
      <c r="S304" s="110"/>
      <c r="U304" s="87"/>
      <c r="V304" s="87"/>
      <c r="W304" s="87"/>
      <c r="X304" s="87"/>
      <c r="Y304" s="87"/>
      <c r="Z304" s="87"/>
      <c r="AA304"/>
    </row>
    <row r="305" spans="1:40" s="14" customFormat="1" ht="15" customHeight="1" x14ac:dyDescent="0.2">
      <c r="A305" s="75">
        <f ca="1">IFERROR(IF(AND(MAX($A$114:A304)&gt;A304+1, MAX($A$114:A304)&gt;20),0,IF(AND(D305="",G305=""),0,IF(OR(D305&gt;LimitSignB10, G305&gt;LimitSignB11),A304+1,0))),"")</f>
        <v>0</v>
      </c>
      <c r="B305" s="76" t="str">
        <f ca="1">IFERROR(MyTime(INDEX(INDIRECT("input!"&amp;$B$112&amp;":"&amp;$B$112),FirstRowInput+Integration*COUNT($B$114:B304)) )* $B$110,"")</f>
        <v/>
      </c>
      <c r="C305" s="77" t="str">
        <f ca="1">IFERROR(AVERAGE(INDEX(INDIRECT("input!" &amp; $C$112 &amp; ":" &amp; $C$112),FirstRowInput+Integration*COUNT($B$114:B304)):INDEX(INDIRECT("input!" &amp; $C$112 &amp; ":" &amp; $C$112),FirstRowInput+Integration*COUNT($B$114:B304)+Integration-1))*$C$110,"")</f>
        <v/>
      </c>
      <c r="D305" s="77" t="str">
        <f ca="1">IFERROR(AVERAGE(INDEX(INDIRECT("input!" &amp; $D$112 &amp; ":" &amp; $D$112),FirstRowInput+Integration*COUNT($B$114:B304)):INDEX(INDIRECT("input!" &amp; $D$112 &amp; ":" &amp; $D$112),FirstRowInput+Integration*COUNT($B$114:B304)+Integration-1))*$D$110,"")</f>
        <v/>
      </c>
      <c r="E305" s="77" t="str">
        <f ca="1">IFERROR(AVERAGE(INDEX(INDIRECT("input!" &amp; $E$112 &amp; ":" &amp; $E$112),FirstRowInput+Integration*COUNT($B$114:B304)):INDEX(INDIRECT("input!" &amp; $E$112 &amp; ":" &amp; $E$112),FirstRowInput+Integration*COUNT($B$114:B304)+Integration-1))*$E$110,"")</f>
        <v/>
      </c>
      <c r="F305" s="77" t="str">
        <f ca="1">IFERROR(AVERAGE(INDEX(INDIRECT("input!" &amp; $F$112 &amp; ":" &amp; $F$112),FirstRowInput+Integration*COUNT($B$114:B304)):INDEX(INDIRECT("input!" &amp; $F$112 &amp; ":" &amp; $F$112),FirstRowInput+Integration*COUNT($B$114:B304)+Integration-1))*$F$110,"")</f>
        <v/>
      </c>
      <c r="G305" s="77" t="str">
        <f ca="1">IFERROR(AVERAGE(INDEX(INDIRECT("input!" &amp; $G$112 &amp; ":" &amp; $G$112),FirstRowInput+Integration*COUNT($B$114:B304)):INDEX(INDIRECT("input!" &amp; $G$112 &amp; ":" &amp; $G$112),FirstRowInput+Integration*COUNT($B$114:B304)+Integration-1))*$G$110,"")</f>
        <v/>
      </c>
      <c r="H305" s="77" t="str">
        <f ca="1">IFERROR(AVERAGE(INDEX(INDIRECT("input!" &amp; $H$112 &amp; ":" &amp; $H$112),FirstRowInput+Integration*COUNT($B$114:B304)):INDEX(INDIRECT("input!" &amp; $H$112 &amp; ":" &amp; $H$112),FirstRowInput+Integration*COUNT($B$114:B304)+Integration-1))*$H$110,"")</f>
        <v/>
      </c>
      <c r="I305" s="42">
        <v>193</v>
      </c>
      <c r="J305" s="74" t="str">
        <f t="shared" ca="1" si="196"/>
        <v/>
      </c>
      <c r="K305" s="183" t="str">
        <f t="shared" ca="1" si="201"/>
        <v/>
      </c>
      <c r="L305" s="394" t="str">
        <f t="shared" ca="1" si="202"/>
        <v/>
      </c>
      <c r="M305" s="394" t="str">
        <f t="shared" ca="1" si="203"/>
        <v/>
      </c>
      <c r="N305" s="394" t="str">
        <f t="shared" ca="1" si="204"/>
        <v/>
      </c>
      <c r="O305" s="394" t="str">
        <f t="shared" ca="1" si="205"/>
        <v/>
      </c>
      <c r="P305" s="394" t="str">
        <f t="shared" ca="1" si="206"/>
        <v/>
      </c>
      <c r="Q305" s="394" t="str">
        <f t="shared" ca="1" si="207"/>
        <v/>
      </c>
      <c r="R305" s="394" t="str">
        <f t="shared" ca="1" si="208"/>
        <v/>
      </c>
      <c r="S305" s="110"/>
      <c r="U305" s="87"/>
      <c r="V305" s="87"/>
      <c r="W305" s="87"/>
      <c r="X305" s="87"/>
      <c r="Y305" s="87"/>
      <c r="Z305" s="87"/>
      <c r="AA305"/>
    </row>
    <row r="306" spans="1:40" s="14" customFormat="1" ht="15" customHeight="1" x14ac:dyDescent="0.2">
      <c r="A306" s="75">
        <f ca="1">IFERROR(IF(AND(MAX($A$114:A305)&gt;A305+1, MAX($A$114:A305)&gt;20),0,IF(AND(D306="",G306=""),0,IF(OR(D306&gt;LimitSignB10, G306&gt;LimitSignB11),A305+1,0))),"")</f>
        <v>0</v>
      </c>
      <c r="B306" s="76" t="str">
        <f ca="1">IFERROR(MyTime(INDEX(INDIRECT("input!"&amp;$B$112&amp;":"&amp;$B$112),FirstRowInput+Integration*COUNT($B$114:B305)) )* $B$110,"")</f>
        <v/>
      </c>
      <c r="C306" s="77" t="str">
        <f ca="1">IFERROR(AVERAGE(INDEX(INDIRECT("input!" &amp; $C$112 &amp; ":" &amp; $C$112),FirstRowInput+Integration*COUNT($B$114:B305)):INDEX(INDIRECT("input!" &amp; $C$112 &amp; ":" &amp; $C$112),FirstRowInput+Integration*COUNT($B$114:B305)+Integration-1))*$C$110,"")</f>
        <v/>
      </c>
      <c r="D306" s="77" t="str">
        <f ca="1">IFERROR(AVERAGE(INDEX(INDIRECT("input!" &amp; $D$112 &amp; ":" &amp; $D$112),FirstRowInput+Integration*COUNT($B$114:B305)):INDEX(INDIRECT("input!" &amp; $D$112 &amp; ":" &amp; $D$112),FirstRowInput+Integration*COUNT($B$114:B305)+Integration-1))*$D$110,"")</f>
        <v/>
      </c>
      <c r="E306" s="77" t="str">
        <f ca="1">IFERROR(AVERAGE(INDEX(INDIRECT("input!" &amp; $E$112 &amp; ":" &amp; $E$112),FirstRowInput+Integration*COUNT($B$114:B305)):INDEX(INDIRECT("input!" &amp; $E$112 &amp; ":" &amp; $E$112),FirstRowInput+Integration*COUNT($B$114:B305)+Integration-1))*$E$110,"")</f>
        <v/>
      </c>
      <c r="F306" s="77" t="str">
        <f ca="1">IFERROR(AVERAGE(INDEX(INDIRECT("input!" &amp; $F$112 &amp; ":" &amp; $F$112),FirstRowInput+Integration*COUNT($B$114:B305)):INDEX(INDIRECT("input!" &amp; $F$112 &amp; ":" &amp; $F$112),FirstRowInput+Integration*COUNT($B$114:B305)+Integration-1))*$F$110,"")</f>
        <v/>
      </c>
      <c r="G306" s="77" t="str">
        <f ca="1">IFERROR(AVERAGE(INDEX(INDIRECT("input!" &amp; $G$112 &amp; ":" &amp; $G$112),FirstRowInput+Integration*COUNT($B$114:B305)):INDEX(INDIRECT("input!" &amp; $G$112 &amp; ":" &amp; $G$112),FirstRowInput+Integration*COUNT($B$114:B305)+Integration-1))*$G$110,"")</f>
        <v/>
      </c>
      <c r="H306" s="77" t="str">
        <f ca="1">IFERROR(AVERAGE(INDEX(INDIRECT("input!" &amp; $H$112 &amp; ":" &amp; $H$112),FirstRowInput+Integration*COUNT($B$114:B305)):INDEX(INDIRECT("input!" &amp; $H$112 &amp; ":" &amp; $H$112),FirstRowInput+Integration*COUNT($B$114:B305)+Integration-1))*$H$110,"")</f>
        <v/>
      </c>
      <c r="I306" s="42">
        <v>194</v>
      </c>
      <c r="J306" s="74" t="str">
        <f ca="1">IF(K306=1,I306,"")</f>
        <v/>
      </c>
      <c r="K306" s="183" t="str">
        <f t="shared" ca="1" si="201"/>
        <v/>
      </c>
      <c r="L306" s="394" t="str">
        <f t="shared" ca="1" si="202"/>
        <v/>
      </c>
      <c r="M306" s="394" t="str">
        <f t="shared" ca="1" si="203"/>
        <v/>
      </c>
      <c r="N306" s="394" t="str">
        <f t="shared" ca="1" si="204"/>
        <v/>
      </c>
      <c r="O306" s="394" t="str">
        <f t="shared" ca="1" si="205"/>
        <v/>
      </c>
      <c r="P306" s="394" t="str">
        <f t="shared" ca="1" si="206"/>
        <v/>
      </c>
      <c r="Q306" s="394" t="str">
        <f t="shared" ca="1" si="207"/>
        <v/>
      </c>
      <c r="R306" s="394" t="str">
        <f t="shared" ca="1" si="208"/>
        <v/>
      </c>
      <c r="S306" s="110"/>
      <c r="U306" s="87"/>
      <c r="V306" s="87"/>
      <c r="W306" s="87"/>
      <c r="X306" s="87"/>
      <c r="Y306" s="87"/>
      <c r="Z306" s="87"/>
      <c r="AA306"/>
    </row>
    <row r="307" spans="1:40" s="14" customFormat="1" ht="15" customHeight="1" x14ac:dyDescent="0.2">
      <c r="A307" s="75">
        <f ca="1">IFERROR(IF(AND(MAX($A$114:A306)&gt;A306+1, MAX($A$114:A306)&gt;20),0,IF(AND(D307="",G307=""),0,IF(OR(D307&gt;LimitSignB10, G307&gt;LimitSignB11),A306+1,0))),"")</f>
        <v>0</v>
      </c>
      <c r="B307" s="76" t="str">
        <f ca="1">IFERROR(MyTime(INDEX(INDIRECT("input!"&amp;$B$112&amp;":"&amp;$B$112),FirstRowInput+Integration*COUNT($B$114:B306)) )* $B$110,"")</f>
        <v/>
      </c>
      <c r="C307" s="77" t="str">
        <f ca="1">IFERROR(AVERAGE(INDEX(INDIRECT("input!" &amp; $C$112 &amp; ":" &amp; $C$112),FirstRowInput+Integration*COUNT($B$114:B306)):INDEX(INDIRECT("input!" &amp; $C$112 &amp; ":" &amp; $C$112),FirstRowInput+Integration*COUNT($B$114:B306)+Integration-1))*$C$110,"")</f>
        <v/>
      </c>
      <c r="D307" s="77" t="str">
        <f ca="1">IFERROR(AVERAGE(INDEX(INDIRECT("input!" &amp; $D$112 &amp; ":" &amp; $D$112),FirstRowInput+Integration*COUNT($B$114:B306)):INDEX(INDIRECT("input!" &amp; $D$112 &amp; ":" &amp; $D$112),FirstRowInput+Integration*COUNT($B$114:B306)+Integration-1))*$D$110,"")</f>
        <v/>
      </c>
      <c r="E307" s="77" t="str">
        <f ca="1">IFERROR(AVERAGE(INDEX(INDIRECT("input!" &amp; $E$112 &amp; ":" &amp; $E$112),FirstRowInput+Integration*COUNT($B$114:B306)):INDEX(INDIRECT("input!" &amp; $E$112 &amp; ":" &amp; $E$112),FirstRowInput+Integration*COUNT($B$114:B306)+Integration-1))*$E$110,"")</f>
        <v/>
      </c>
      <c r="F307" s="77" t="str">
        <f ca="1">IFERROR(AVERAGE(INDEX(INDIRECT("input!" &amp; $F$112 &amp; ":" &amp; $F$112),FirstRowInput+Integration*COUNT($B$114:B306)):INDEX(INDIRECT("input!" &amp; $F$112 &amp; ":" &amp; $F$112),FirstRowInput+Integration*COUNT($B$114:B306)+Integration-1))*$F$110,"")</f>
        <v/>
      </c>
      <c r="G307" s="77" t="str">
        <f ca="1">IFERROR(AVERAGE(INDEX(INDIRECT("input!" &amp; $G$112 &amp; ":" &amp; $G$112),FirstRowInput+Integration*COUNT($B$114:B306)):INDEX(INDIRECT("input!" &amp; $G$112 &amp; ":" &amp; $G$112),FirstRowInput+Integration*COUNT($B$114:B306)+Integration-1))*$G$110,"")</f>
        <v/>
      </c>
      <c r="H307" s="77" t="str">
        <f ca="1">IFERROR(AVERAGE(INDEX(INDIRECT("input!" &amp; $H$112 &amp; ":" &amp; $H$112),FirstRowInput+Integration*COUNT($B$114:B306)):INDEX(INDIRECT("input!" &amp; $H$112 &amp; ":" &amp; $H$112),FirstRowInput+Integration*COUNT($B$114:B306)+Integration-1))*$H$110,"")</f>
        <v/>
      </c>
      <c r="I307" s="42">
        <v>195</v>
      </c>
      <c r="J307" s="74" t="str">
        <f ca="1">IF(K307=1,I307,"")</f>
        <v/>
      </c>
      <c r="K307" s="183" t="str">
        <f ca="1">IFERROR(IF(OR(D307&gt;$M$111,G307&gt;$P$111,MAX(A307:A321)&gt;=15),"",1),"")</f>
        <v/>
      </c>
      <c r="L307" s="394" t="str">
        <f ca="1">IFERROR(IF($K307=1,C307,""),"")</f>
        <v/>
      </c>
      <c r="M307" s="394" t="str">
        <f ca="1">IFERROR(IF($K307=1,D307,""),"")</f>
        <v/>
      </c>
      <c r="N307" s="394" t="str">
        <f ca="1">IFERROR(IF($K307=1,E307,""),"")</f>
        <v/>
      </c>
      <c r="O307" s="394" t="str">
        <f t="shared" ca="1" si="205"/>
        <v/>
      </c>
      <c r="P307" s="394" t="str">
        <f ca="1">IFERROR(IF($K307=1,G307,""),"")</f>
        <v/>
      </c>
      <c r="Q307" s="394" t="str">
        <f t="shared" ca="1" si="207"/>
        <v/>
      </c>
      <c r="R307" s="394" t="str">
        <f ca="1">IFERROR(P307/Q307,"")</f>
        <v/>
      </c>
      <c r="S307" s="110"/>
      <c r="U307" s="87"/>
      <c r="V307" s="87"/>
      <c r="W307" s="87"/>
      <c r="X307" s="87"/>
      <c r="Y307" s="87"/>
      <c r="Z307" s="87"/>
      <c r="AA307"/>
    </row>
    <row r="308" spans="1:40" s="14" customFormat="1" ht="15" customHeight="1" x14ac:dyDescent="0.2">
      <c r="A308" s="75">
        <f ca="1">IFERROR(IF(AND(MAX($A$114:A307)&gt;A307+1, MAX($A$114:A307)&gt;20),0,IF(AND(D308="",G308=""),0,IF(OR(D308&gt;LimitSignB10, G308&gt;LimitSignB11),A307+1,0))),"")</f>
        <v>0</v>
      </c>
      <c r="B308" s="76" t="str">
        <f ca="1">IFERROR(MyTime(INDEX(INDIRECT("input!"&amp;$B$112&amp;":"&amp;$B$112),FirstRowInput+Integration*COUNT($B$114:B307)) )* $B$110,"")</f>
        <v/>
      </c>
      <c r="C308" s="77" t="str">
        <f ca="1">IFERROR(AVERAGE(INDEX(INDIRECT("input!" &amp; $C$112 &amp; ":" &amp; $C$112),FirstRowInput+Integration*COUNT($B$114:B307)):INDEX(INDIRECT("input!" &amp; $C$112 &amp; ":" &amp; $C$112),FirstRowInput+Integration*COUNT($B$114:B307)+Integration-1))*$C$110,"")</f>
        <v/>
      </c>
      <c r="D308" s="77" t="str">
        <f ca="1">IFERROR(AVERAGE(INDEX(INDIRECT("input!" &amp; $D$112 &amp; ":" &amp; $D$112),FirstRowInput+Integration*COUNT($B$114:B307)):INDEX(INDIRECT("input!" &amp; $D$112 &amp; ":" &amp; $D$112),FirstRowInput+Integration*COUNT($B$114:B307)+Integration-1))*$D$110,"")</f>
        <v/>
      </c>
      <c r="E308" s="77" t="str">
        <f ca="1">IFERROR(AVERAGE(INDEX(INDIRECT("input!" &amp; $E$112 &amp; ":" &amp; $E$112),FirstRowInput+Integration*COUNT($B$114:B307)):INDEX(INDIRECT("input!" &amp; $E$112 &amp; ":" &amp; $E$112),FirstRowInput+Integration*COUNT($B$114:B307)+Integration-1))*$E$110,"")</f>
        <v/>
      </c>
      <c r="F308" s="77" t="str">
        <f ca="1">IFERROR(AVERAGE(INDEX(INDIRECT("input!" &amp; $F$112 &amp; ":" &amp; $F$112),FirstRowInput+Integration*COUNT($B$114:B307)):INDEX(INDIRECT("input!" &amp; $F$112 &amp; ":" &amp; $F$112),FirstRowInput+Integration*COUNT($B$114:B307)+Integration-1))*$F$110,"")</f>
        <v/>
      </c>
      <c r="G308" s="77" t="str">
        <f ca="1">IFERROR(AVERAGE(INDEX(INDIRECT("input!" &amp; $G$112 &amp; ":" &amp; $G$112),FirstRowInput+Integration*COUNT($B$114:B307)):INDEX(INDIRECT("input!" &amp; $G$112 &amp; ":" &amp; $G$112),FirstRowInput+Integration*COUNT($B$114:B307)+Integration-1))*$G$110,"")</f>
        <v/>
      </c>
      <c r="H308" s="77" t="str">
        <f ca="1">IFERROR(AVERAGE(INDEX(INDIRECT("input!" &amp; $H$112 &amp; ":" &amp; $H$112),FirstRowInput+Integration*COUNT($B$114:B307)):INDEX(INDIRECT("input!" &amp; $H$112 &amp; ":" &amp; $H$112),FirstRowInput+Integration*COUNT($B$114:B307)+Integration-1))*$H$110,"")</f>
        <v/>
      </c>
      <c r="I308" s="42">
        <v>196</v>
      </c>
      <c r="J308" s="42"/>
      <c r="K308" s="80"/>
      <c r="L308" s="80"/>
      <c r="M308" s="80"/>
      <c r="N308" s="80"/>
      <c r="O308" s="80"/>
      <c r="P308" s="80"/>
      <c r="Q308" s="394"/>
      <c r="R308" s="82"/>
      <c r="S308" s="110"/>
      <c r="U308" s="87"/>
      <c r="V308" s="87"/>
      <c r="W308" s="87"/>
      <c r="X308" s="87"/>
      <c r="Y308" s="87"/>
      <c r="Z308" s="87"/>
      <c r="AA308"/>
    </row>
    <row r="309" spans="1:40" s="14" customFormat="1" ht="15" customHeight="1" x14ac:dyDescent="0.2">
      <c r="A309" s="75">
        <f ca="1">IFERROR(IF(AND(MAX($A$114:A308)&gt;A308+1, MAX($A$114:A308)&gt;20),0,IF(AND(D309="",G309=""),0,IF(OR(D309&gt;LimitSignB10, G309&gt;LimitSignB11),A308+1,0))),"")</f>
        <v>0</v>
      </c>
      <c r="B309" s="76" t="str">
        <f ca="1">IFERROR(MyTime(INDEX(INDIRECT("input!"&amp;$B$112&amp;":"&amp;$B$112),FirstRowInput+Integration*COUNT($B$114:B308)) )* $B$110,"")</f>
        <v/>
      </c>
      <c r="C309" s="77" t="str">
        <f ca="1">IFERROR(AVERAGE(INDEX(INDIRECT("input!" &amp; $C$112 &amp; ":" &amp; $C$112),FirstRowInput+Integration*COUNT($B$114:B308)):INDEX(INDIRECT("input!" &amp; $C$112 &amp; ":" &amp; $C$112),FirstRowInput+Integration*COUNT($B$114:B308)+Integration-1))*$C$110,"")</f>
        <v/>
      </c>
      <c r="D309" s="77" t="str">
        <f ca="1">IFERROR(AVERAGE(INDEX(INDIRECT("input!" &amp; $D$112 &amp; ":" &amp; $D$112),FirstRowInput+Integration*COUNT($B$114:B308)):INDEX(INDIRECT("input!" &amp; $D$112 &amp; ":" &amp; $D$112),FirstRowInput+Integration*COUNT($B$114:B308)+Integration-1))*$D$110,"")</f>
        <v/>
      </c>
      <c r="E309" s="77" t="str">
        <f ca="1">IFERROR(AVERAGE(INDEX(INDIRECT("input!" &amp; $E$112 &amp; ":" &amp; $E$112),FirstRowInput+Integration*COUNT($B$114:B308)):INDEX(INDIRECT("input!" &amp; $E$112 &amp; ":" &amp; $E$112),FirstRowInput+Integration*COUNT($B$114:B308)+Integration-1))*$E$110,"")</f>
        <v/>
      </c>
      <c r="F309" s="77" t="str">
        <f ca="1">IFERROR(AVERAGE(INDEX(INDIRECT("input!" &amp; $F$112 &amp; ":" &amp; $F$112),FirstRowInput+Integration*COUNT($B$114:B308)):INDEX(INDIRECT("input!" &amp; $F$112 &amp; ":" &amp; $F$112),FirstRowInput+Integration*COUNT($B$114:B308)+Integration-1))*$F$110,"")</f>
        <v/>
      </c>
      <c r="G309" s="77" t="str">
        <f ca="1">IFERROR(AVERAGE(INDEX(INDIRECT("input!" &amp; $G$112 &amp; ":" &amp; $G$112),FirstRowInput+Integration*COUNT($B$114:B308)):INDEX(INDIRECT("input!" &amp; $G$112 &amp; ":" &amp; $G$112),FirstRowInput+Integration*COUNT($B$114:B308)+Integration-1))*$G$110,"")</f>
        <v/>
      </c>
      <c r="H309" s="77" t="str">
        <f ca="1">IFERROR(AVERAGE(INDEX(INDIRECT("input!" &amp; $H$112 &amp; ":" &amp; $H$112),FirstRowInput+Integration*COUNT($B$114:B308)):INDEX(INDIRECT("input!" &amp; $H$112 &amp; ":" &amp; $H$112),FirstRowInput+Integration*COUNT($B$114:B308)+Integration-1))*$H$110,"")</f>
        <v/>
      </c>
      <c r="I309" s="42">
        <v>197</v>
      </c>
      <c r="J309" s="42"/>
      <c r="K309" s="83"/>
      <c r="L309" s="535">
        <f t="shared" ref="L309:R309" ca="1" si="209">IFERROR(AVERAGE(L114:L307),"")</f>
        <v>19333.298165516553</v>
      </c>
      <c r="M309" s="535">
        <f t="shared" ca="1" si="209"/>
        <v>32879.400931716758</v>
      </c>
      <c r="N309" s="535">
        <f t="shared" ca="1" si="209"/>
        <v>18208.07234542392</v>
      </c>
      <c r="O309" s="535">
        <f t="shared" ca="1" si="209"/>
        <v>18208.07234542392</v>
      </c>
      <c r="P309" s="535">
        <f t="shared" ca="1" si="209"/>
        <v>70786.937494358222</v>
      </c>
      <c r="Q309" s="535">
        <f t="shared" ca="1" si="209"/>
        <v>10724.464964747658</v>
      </c>
      <c r="R309" s="709">
        <f t="shared" ca="1" si="209"/>
        <v>11065.24262913285</v>
      </c>
      <c r="S309" s="708">
        <f ca="1">IFERROR(AVERAGE(S144:S307),"")</f>
        <v>519.05101252432428</v>
      </c>
      <c r="T309" s="708">
        <f ca="1">IFERROR(AVERAGE(T144:T307),"")</f>
        <v>476.24359594995042</v>
      </c>
      <c r="U309" s="708">
        <f ca="1">IFERROR(AVERAGE(U144:U307),"")</f>
        <v>362.14790744579545</v>
      </c>
      <c r="V309" s="708">
        <f ca="1">IFERROR(AVERAGE(V144:V307),"")</f>
        <v>675.95411760285288</v>
      </c>
      <c r="W309" s="87"/>
      <c r="X309" s="87"/>
      <c r="Y309" s="87"/>
      <c r="Z309" s="87"/>
      <c r="AA309"/>
    </row>
    <row r="310" spans="1:40" s="14" customFormat="1" ht="15" customHeight="1" x14ac:dyDescent="0.15">
      <c r="A310" s="75">
        <f ca="1">IFERROR(IF(AND(MAX($A$114:A309)&gt;A309+1, MAX($A$114:A309)&gt;20),0,IF(AND(D310="",G310=""),0,IF(OR(D310&gt;LimitSignB10, G310&gt;LimitSignB11),A309+1,0))),"")</f>
        <v>0</v>
      </c>
      <c r="B310" s="76" t="str">
        <f ca="1">IFERROR(MyTime(INDEX(INDIRECT("input!"&amp;$B$112&amp;":"&amp;$B$112),FirstRowInput+Integration*COUNT($B$114:B309)) )* $B$110,"")</f>
        <v/>
      </c>
      <c r="C310" s="77" t="str">
        <f ca="1">IFERROR(AVERAGE(INDEX(INDIRECT("input!" &amp; $C$112 &amp; ":" &amp; $C$112),FirstRowInput+Integration*COUNT($B$114:B309)):INDEX(INDIRECT("input!" &amp; $C$112 &amp; ":" &amp; $C$112),FirstRowInput+Integration*COUNT($B$114:B309)+Integration-1))*$C$110,"")</f>
        <v/>
      </c>
      <c r="D310" s="77" t="str">
        <f ca="1">IFERROR(AVERAGE(INDEX(INDIRECT("input!" &amp; $D$112 &amp; ":" &amp; $D$112),FirstRowInput+Integration*COUNT($B$114:B309)):INDEX(INDIRECT("input!" &amp; $D$112 &amp; ":" &amp; $D$112),FirstRowInput+Integration*COUNT($B$114:B309)+Integration-1))*$D$110,"")</f>
        <v/>
      </c>
      <c r="E310" s="77" t="str">
        <f ca="1">IFERROR(AVERAGE(INDEX(INDIRECT("input!" &amp; $E$112 &amp; ":" &amp; $E$112),FirstRowInput+Integration*COUNT($B$114:B309)):INDEX(INDIRECT("input!" &amp; $E$112 &amp; ":" &amp; $E$112),FirstRowInput+Integration*COUNT($B$114:B309)+Integration-1))*$E$110,"")</f>
        <v/>
      </c>
      <c r="F310" s="77" t="str">
        <f ca="1">IFERROR(AVERAGE(INDEX(INDIRECT("input!" &amp; $F$112 &amp; ":" &amp; $F$112),FirstRowInput+Integration*COUNT($B$114:B309)):INDEX(INDIRECT("input!" &amp; $F$112 &amp; ":" &amp; $F$112),FirstRowInput+Integration*COUNT($B$114:B309)+Integration-1))*$F$110,"")</f>
        <v/>
      </c>
      <c r="G310" s="77" t="str">
        <f ca="1">IFERROR(AVERAGE(INDEX(INDIRECT("input!" &amp; $G$112 &amp; ":" &amp; $G$112),FirstRowInput+Integration*COUNT($B$114:B309)):INDEX(INDIRECT("input!" &amp; $G$112 &amp; ":" &amp; $G$112),FirstRowInput+Integration*COUNT($B$114:B309)+Integration-1))*$G$110,"")</f>
        <v/>
      </c>
      <c r="H310" s="77" t="str">
        <f ca="1">IFERROR(AVERAGE(INDEX(INDIRECT("input!" &amp; $H$112 &amp; ":" &amp; $H$112),FirstRowInput+Integration*COUNT($B$114:B309)):INDEX(INDIRECT("input!" &amp; $H$112 &amp; ":" &amp; $H$112),FirstRowInput+Integration*COUNT($B$114:B309)+Integration-1))*$H$110,"")</f>
        <v/>
      </c>
      <c r="I310" s="42">
        <v>198</v>
      </c>
      <c r="J310" s="42"/>
      <c r="K310" s="84"/>
      <c r="L310" s="396">
        <f t="shared" ref="L310:S310" ca="1" si="210">IFERROR(STDEV(L114:L307),"")</f>
        <v>1812.2622357772411</v>
      </c>
      <c r="M310" s="396">
        <f t="shared" ca="1" si="210"/>
        <v>3189.6767303397723</v>
      </c>
      <c r="N310" s="396">
        <f t="shared" ca="1" si="210"/>
        <v>1457.6032547797515</v>
      </c>
      <c r="O310" s="396">
        <f t="shared" ca="1" si="210"/>
        <v>1457.6032547797515</v>
      </c>
      <c r="P310" s="396">
        <f t="shared" ca="1" si="210"/>
        <v>12635.067745244503</v>
      </c>
      <c r="Q310" s="396">
        <f t="shared" ca="1" si="210"/>
        <v>5105.8836928157971</v>
      </c>
      <c r="R310" s="398">
        <f t="shared" ca="1" si="210"/>
        <v>5993.3404878607525</v>
      </c>
      <c r="S310" s="398">
        <f t="shared" ca="1" si="210"/>
        <v>1907.4126971594128</v>
      </c>
      <c r="T310" s="398">
        <f ca="1">IFERROR(STDEV(S114:S307),"")</f>
        <v>1907.4126971594128</v>
      </c>
      <c r="U310" s="398">
        <f ca="1">IFERROR(STDEV(T114:T307),"")</f>
        <v>1082.4330033366828</v>
      </c>
      <c r="V310" s="398">
        <f ca="1">IFERROR(STDEV(U114:U307),"")</f>
        <v>19818.292539021422</v>
      </c>
      <c r="W310"/>
      <c r="X310"/>
      <c r="Y310"/>
      <c r="Z310"/>
      <c r="AA310"/>
    </row>
    <row r="311" spans="1:40" s="14" customFormat="1" ht="15" customHeight="1" x14ac:dyDescent="0.15">
      <c r="A311" s="75">
        <f ca="1">IFERROR(IF(AND(MAX($A$114:A310)&gt;A310+1, MAX($A$114:A310)&gt;20),0,IF(AND(D311="",G311=""),0,IF(OR(D311&gt;LimitSignB10, G311&gt;LimitSignB11),A310+1,0))),"")</f>
        <v>0</v>
      </c>
      <c r="B311" s="76" t="str">
        <f ca="1">IFERROR(MyTime(INDEX(INDIRECT("input!"&amp;$B$112&amp;":"&amp;$B$112),FirstRowInput+Integration*COUNT($B$114:B310)) )* $B$110,"")</f>
        <v/>
      </c>
      <c r="C311" s="77" t="str">
        <f ca="1">IFERROR(AVERAGE(INDEX(INDIRECT("input!" &amp; $C$112 &amp; ":" &amp; $C$112),FirstRowInput+Integration*COUNT($B$114:B310)):INDEX(INDIRECT("input!" &amp; $C$112 &amp; ":" &amp; $C$112),FirstRowInput+Integration*COUNT($B$114:B310)+Integration-1))*$C$110,"")</f>
        <v/>
      </c>
      <c r="D311" s="77" t="str">
        <f ca="1">IFERROR(AVERAGE(INDEX(INDIRECT("input!" &amp; $D$112 &amp; ":" &amp; $D$112),FirstRowInput+Integration*COUNT($B$114:B310)):INDEX(INDIRECT("input!" &amp; $D$112 &amp; ":" &amp; $D$112),FirstRowInput+Integration*COUNT($B$114:B310)+Integration-1))*$D$110,"")</f>
        <v/>
      </c>
      <c r="E311" s="77" t="str">
        <f ca="1">IFERROR(AVERAGE(INDEX(INDIRECT("input!" &amp; $E$112 &amp; ":" &amp; $E$112),FirstRowInput+Integration*COUNT($B$114:B310)):INDEX(INDIRECT("input!" &amp; $E$112 &amp; ":" &amp; $E$112),FirstRowInput+Integration*COUNT($B$114:B310)+Integration-1))*$E$110,"")</f>
        <v/>
      </c>
      <c r="F311" s="77" t="str">
        <f ca="1">IFERROR(AVERAGE(INDEX(INDIRECT("input!" &amp; $F$112 &amp; ":" &amp; $F$112),FirstRowInput+Integration*COUNT($B$114:B310)):INDEX(INDIRECT("input!" &amp; $F$112 &amp; ":" &amp; $F$112),FirstRowInput+Integration*COUNT($B$114:B310)+Integration-1))*$F$110,"")</f>
        <v/>
      </c>
      <c r="G311" s="77" t="str">
        <f ca="1">IFERROR(AVERAGE(INDEX(INDIRECT("input!" &amp; $G$112 &amp; ":" &amp; $G$112),FirstRowInput+Integration*COUNT($B$114:B310)):INDEX(INDIRECT("input!" &amp; $G$112 &amp; ":" &amp; $G$112),FirstRowInput+Integration*COUNT($B$114:B310)+Integration-1))*$G$110,"")</f>
        <v/>
      </c>
      <c r="H311" s="77" t="str">
        <f ca="1">IFERROR(AVERAGE(INDEX(INDIRECT("input!" &amp; $H$112 &amp; ":" &amp; $H$112),FirstRowInput+Integration*COUNT($B$114:B310)):INDEX(INDIRECT("input!" &amp; $H$112 &amp; ":" &amp; $H$112),FirstRowInput+Integration*COUNT($B$114:B310)+Integration-1))*$H$110,"")</f>
        <v/>
      </c>
      <c r="I311" s="42">
        <v>199</v>
      </c>
      <c r="J311" s="42"/>
      <c r="K311" s="85"/>
      <c r="L311" s="397">
        <f t="shared" ref="L311:S311" ca="1" si="211">IFERROR((L310/COUNT(L115:L303))*100/L309,"")</f>
        <v>0.11717234045260098</v>
      </c>
      <c r="M311" s="397">
        <f t="shared" ca="1" si="211"/>
        <v>0.12126425056238195</v>
      </c>
      <c r="N311" s="397">
        <f t="shared" ca="1" si="211"/>
        <v>0.10006573095216191</v>
      </c>
      <c r="O311" s="397">
        <f t="shared" ca="1" si="211"/>
        <v>0.10006573095216191</v>
      </c>
      <c r="P311" s="397">
        <f t="shared" ca="1" si="211"/>
        <v>0.2231179259989092</v>
      </c>
      <c r="Q311" s="397">
        <f t="shared" ca="1" si="211"/>
        <v>0.59512102813512435</v>
      </c>
      <c r="R311" s="515">
        <f t="shared" ca="1" si="211"/>
        <v>0.67704576039766795</v>
      </c>
      <c r="S311" s="515">
        <f t="shared" ca="1" si="211"/>
        <v>3.6027527219357238</v>
      </c>
      <c r="T311" s="515">
        <f ca="1">IFERROR((T310/COUNT(S115:S303))*100/T309,"")</f>
        <v>3.9265881244354346</v>
      </c>
      <c r="U311" s="515">
        <f ca="1">IFERROR((U310/COUNT(T115:T303))*100/U309,"")</f>
        <v>2.9018691172183861</v>
      </c>
      <c r="V311" s="515">
        <f ca="1">IFERROR((V310/COUNT(U115:U303))*100/V309,"")</f>
        <v>27.922848358129283</v>
      </c>
      <c r="W311"/>
      <c r="X311"/>
      <c r="Y311"/>
      <c r="Z311"/>
      <c r="AA311"/>
    </row>
    <row r="312" spans="1:40" s="14" customFormat="1" ht="15" customHeight="1" x14ac:dyDescent="0.15">
      <c r="A312" s="75">
        <f ca="1">IFERROR(IF(AND(MAX($A$114:A311)&gt;A311+1, MAX($A$114:A311)&gt;20),0,IF(AND(D312="",G312=""),0,IF(OR(D312&gt;LimitSignB10, G312&gt;LimitSignB11),A311+1,0))),"")</f>
        <v>0</v>
      </c>
      <c r="B312" s="76" t="str">
        <f ca="1">IFERROR(MyTime(INDEX(INDIRECT("input!"&amp;$B$112&amp;":"&amp;$B$112),FirstRowInput+Integration*COUNT($B$114:B311)) )* $B$110,"")</f>
        <v/>
      </c>
      <c r="C312" s="77" t="str">
        <f ca="1">IFERROR(AVERAGE(INDEX(INDIRECT("input!" &amp; $C$112 &amp; ":" &amp; $C$112),FirstRowInput+Integration*COUNT($B$114:B311)):INDEX(INDIRECT("input!" &amp; $C$112 &amp; ":" &amp; $C$112),FirstRowInput+Integration*COUNT($B$114:B311)+Integration-1))*$C$110,"")</f>
        <v/>
      </c>
      <c r="D312" s="77" t="str">
        <f ca="1">IFERROR(AVERAGE(INDEX(INDIRECT("input!" &amp; $D$112 &amp; ":" &amp; $D$112),FirstRowInput+Integration*COUNT($B$114:B311)):INDEX(INDIRECT("input!" &amp; $D$112 &amp; ":" &amp; $D$112),FirstRowInput+Integration*COUNT($B$114:B311)+Integration-1))*$D$110,"")</f>
        <v/>
      </c>
      <c r="E312" s="77" t="str">
        <f ca="1">IFERROR(AVERAGE(INDEX(INDIRECT("input!" &amp; $E$112 &amp; ":" &amp; $E$112),FirstRowInput+Integration*COUNT($B$114:B311)):INDEX(INDIRECT("input!" &amp; $E$112 &amp; ":" &amp; $E$112),FirstRowInput+Integration*COUNT($B$114:B311)+Integration-1))*$E$110,"")</f>
        <v/>
      </c>
      <c r="F312" s="77" t="str">
        <f ca="1">IFERROR(AVERAGE(INDEX(INDIRECT("input!" &amp; $F$112 &amp; ":" &amp; $F$112),FirstRowInput+Integration*COUNT($B$114:B311)):INDEX(INDIRECT("input!" &amp; $F$112 &amp; ":" &amp; $F$112),FirstRowInput+Integration*COUNT($B$114:B311)+Integration-1))*$F$110,"")</f>
        <v/>
      </c>
      <c r="G312" s="77" t="str">
        <f ca="1">IFERROR(AVERAGE(INDEX(INDIRECT("input!" &amp; $G$112 &amp; ":" &amp; $G$112),FirstRowInput+Integration*COUNT($B$114:B311)):INDEX(INDIRECT("input!" &amp; $G$112 &amp; ":" &amp; $G$112),FirstRowInput+Integration*COUNT($B$114:B311)+Integration-1))*$G$110,"")</f>
        <v/>
      </c>
      <c r="H312" s="77" t="str">
        <f ca="1">IFERROR(AVERAGE(INDEX(INDIRECT("input!" &amp; $H$112 &amp; ":" &amp; $H$112),FirstRowInput+Integration*COUNT($B$114:B311)):INDEX(INDIRECT("input!" &amp; $H$112 &amp; ":" &amp; $H$112),FirstRowInput+Integration*COUNT($B$114:B311)+Integration-1))*$H$110,"")</f>
        <v/>
      </c>
      <c r="I312" s="42">
        <v>200</v>
      </c>
      <c r="J312" s="42"/>
      <c r="K312" s="32"/>
      <c r="L312" s="42"/>
      <c r="M312" s="42"/>
      <c r="N312" s="55"/>
      <c r="O312" s="42"/>
      <c r="P312" s="42"/>
      <c r="Q312" s="42"/>
      <c r="R312" s="42"/>
      <c r="S312" s="463"/>
      <c r="T312"/>
      <c r="U312"/>
      <c r="V312"/>
      <c r="W312"/>
      <c r="X312"/>
      <c r="Y312"/>
      <c r="Z312"/>
      <c r="AA312"/>
    </row>
    <row r="313" spans="1:40" s="14" customFormat="1" ht="15" customHeight="1" x14ac:dyDescent="0.15">
      <c r="A313" s="75">
        <f ca="1">IFERROR(IF(AND(MAX($A$114:A312)&gt;A312+1, MAX($A$114:A312)&gt;20),0,IF(AND(D313="",G313=""),0,IF(OR(D313&gt;LimitSignB10, G313&gt;LimitSignB11),A312+1,0))),"")</f>
        <v>0</v>
      </c>
      <c r="B313" s="76" t="str">
        <f ca="1">IFERROR(MyTime(INDEX(INDIRECT("input!"&amp;$B$112&amp;":"&amp;$B$112),FirstRowInput+Integration*COUNT($B$114:B312)) )* $B$110,"")</f>
        <v/>
      </c>
      <c r="C313" s="77" t="str">
        <f ca="1">IFERROR(AVERAGE(INDEX(INDIRECT("input!" &amp; $C$112 &amp; ":" &amp; $C$112),FirstRowInput+Integration*COUNT($B$114:B312)):INDEX(INDIRECT("input!" &amp; $C$112 &amp; ":" &amp; $C$112),FirstRowInput+Integration*COUNT($B$114:B312)+Integration-1))*$C$110,"")</f>
        <v/>
      </c>
      <c r="D313" s="77" t="str">
        <f ca="1">IFERROR(AVERAGE(INDEX(INDIRECT("input!" &amp; $D$112 &amp; ":" &amp; $D$112),FirstRowInput+Integration*COUNT($B$114:B312)):INDEX(INDIRECT("input!" &amp; $D$112 &amp; ":" &amp; $D$112),FirstRowInput+Integration*COUNT($B$114:B312)+Integration-1))*$D$110,"")</f>
        <v/>
      </c>
      <c r="E313" s="77" t="str">
        <f ca="1">IFERROR(AVERAGE(INDEX(INDIRECT("input!" &amp; $E$112 &amp; ":" &amp; $E$112),FirstRowInput+Integration*COUNT($B$114:B312)):INDEX(INDIRECT("input!" &amp; $E$112 &amp; ":" &amp; $E$112),FirstRowInput+Integration*COUNT($B$114:B312)+Integration-1))*$E$110,"")</f>
        <v/>
      </c>
      <c r="F313" s="77" t="str">
        <f ca="1">IFERROR(AVERAGE(INDEX(INDIRECT("input!" &amp; $F$112 &amp; ":" &amp; $F$112),FirstRowInput+Integration*COUNT($B$114:B312)):INDEX(INDIRECT("input!" &amp; $F$112 &amp; ":" &amp; $F$112),FirstRowInput+Integration*COUNT($B$114:B312)+Integration-1))*$F$110,"")</f>
        <v/>
      </c>
      <c r="G313" s="77" t="str">
        <f ca="1">IFERROR(AVERAGE(INDEX(INDIRECT("input!" &amp; $G$112 &amp; ":" &amp; $G$112),FirstRowInput+Integration*COUNT($B$114:B312)):INDEX(INDIRECT("input!" &amp; $G$112 &amp; ":" &amp; $G$112),FirstRowInput+Integration*COUNT($B$114:B312)+Integration-1))*$G$110,"")</f>
        <v/>
      </c>
      <c r="H313" s="77" t="str">
        <f ca="1">IFERROR(AVERAGE(INDEX(INDIRECT("input!" &amp; $H$112 &amp; ":" &amp; $H$112),FirstRowInput+Integration*COUNT($B$114:B312)):INDEX(INDIRECT("input!" &amp; $H$112 &amp; ":" &amp; $H$112),FirstRowInput+Integration*COUNT($B$114:B312)+Integration-1))*$H$110,"")</f>
        <v/>
      </c>
      <c r="I313" s="42">
        <v>201</v>
      </c>
      <c r="J313" s="32"/>
      <c r="K313" s="32"/>
      <c r="L313" s="32" t="e">
        <f ca="1">A101</f>
        <v>#VALUE!</v>
      </c>
      <c r="M313" s="32">
        <f ca="1">D101</f>
        <v>757.42360990986253</v>
      </c>
      <c r="N313" s="32" t="e">
        <f ca="1">C101</f>
        <v>#VALUE!</v>
      </c>
      <c r="O313" s="81">
        <f ca="1">U309</f>
        <v>362.14790744579545</v>
      </c>
      <c r="P313" s="32">
        <f ca="1">S309</f>
        <v>519.05101252432428</v>
      </c>
      <c r="Q313" s="32">
        <f ca="1">F101</f>
        <v>454.30565566047346</v>
      </c>
      <c r="R313" s="162">
        <f ca="1">V309</f>
        <v>675.95411760285288</v>
      </c>
      <c r="S313" s="463"/>
      <c r="T313"/>
      <c r="U313"/>
      <c r="V313"/>
      <c r="W313"/>
      <c r="X313"/>
      <c r="Y313"/>
      <c r="Z313"/>
      <c r="AA313"/>
    </row>
    <row r="314" spans="1:40" s="14" customFormat="1" ht="15" customHeight="1" x14ac:dyDescent="0.15">
      <c r="A314" s="75">
        <f ca="1">IFERROR(IF(AND(MAX($A$114:A313)&gt;A313+1, MAX($A$114:A313)&gt;20),0,IF(AND(D314="",G314=""),0,IF(OR(D314&gt;LimitSignB10, G314&gt;LimitSignB11),A313+1,0))),"")</f>
        <v>0</v>
      </c>
      <c r="B314" s="76" t="str">
        <f ca="1">IFERROR(MyTime(INDEX(INDIRECT("input!"&amp;$B$112&amp;":"&amp;$B$112),FirstRowInput+Integration*COUNT($B$114:B313)) )* $B$110,"")</f>
        <v/>
      </c>
      <c r="C314" s="77" t="str">
        <f ca="1">IFERROR(AVERAGE(INDEX(INDIRECT("input!" &amp; $C$112 &amp; ":" &amp; $C$112),FirstRowInput+Integration*COUNT($B$114:B313)):INDEX(INDIRECT("input!" &amp; $C$112 &amp; ":" &amp; $C$112),FirstRowInput+Integration*COUNT($B$114:B313)+Integration-1))*$C$110,"")</f>
        <v/>
      </c>
      <c r="D314" s="77" t="str">
        <f ca="1">IFERROR(AVERAGE(INDEX(INDIRECT("input!" &amp; $D$112 &amp; ":" &amp; $D$112),FirstRowInput+Integration*COUNT($B$114:B313)):INDEX(INDIRECT("input!" &amp; $D$112 &amp; ":" &amp; $D$112),FirstRowInput+Integration*COUNT($B$114:B313)+Integration-1))*$D$110,"")</f>
        <v/>
      </c>
      <c r="E314" s="77" t="str">
        <f ca="1">IFERROR(AVERAGE(INDEX(INDIRECT("input!" &amp; $E$112 &amp; ":" &amp; $E$112),FirstRowInput+Integration*COUNT($B$114:B313)):INDEX(INDIRECT("input!" &amp; $E$112 &amp; ":" &amp; $E$112),FirstRowInput+Integration*COUNT($B$114:B313)+Integration-1))*$E$110,"")</f>
        <v/>
      </c>
      <c r="F314" s="77" t="str">
        <f ca="1">IFERROR(AVERAGE(INDEX(INDIRECT("input!" &amp; $F$112 &amp; ":" &amp; $F$112),FirstRowInput+Integration*COUNT($B$114:B313)):INDEX(INDIRECT("input!" &amp; $F$112 &amp; ":" &amp; $F$112),FirstRowInput+Integration*COUNT($B$114:B313)+Integration-1))*$F$110,"")</f>
        <v/>
      </c>
      <c r="G314" s="77" t="str">
        <f ca="1">IFERROR(AVERAGE(INDEX(INDIRECT("input!" &amp; $G$112 &amp; ":" &amp; $G$112),FirstRowInput+Integration*COUNT($B$114:B313)):INDEX(INDIRECT("input!" &amp; $G$112 &amp; ":" &amp; $G$112),FirstRowInput+Integration*COUNT($B$114:B313)+Integration-1))*$G$110,"")</f>
        <v/>
      </c>
      <c r="H314" s="77" t="str">
        <f ca="1">IFERROR(AVERAGE(INDEX(INDIRECT("input!" &amp; $H$112 &amp; ":" &amp; $H$112),FirstRowInput+Integration*COUNT($B$114:B313)):INDEX(INDIRECT("input!" &amp; $H$112 &amp; ":" &amp; $H$112),FirstRowInput+Integration*COUNT($B$114:B313)+Integration-1))*$H$110,"")</f>
        <v/>
      </c>
      <c r="I314" s="42">
        <v>202</v>
      </c>
      <c r="J314"/>
      <c r="K314"/>
      <c r="L314" s="71">
        <v>9.9269999999999996</v>
      </c>
      <c r="M314" s="71">
        <v>10.0129</v>
      </c>
      <c r="N314" s="71">
        <v>10.11</v>
      </c>
      <c r="O314" s="71">
        <v>10.79</v>
      </c>
      <c r="P314" s="78">
        <v>11.0123</v>
      </c>
      <c r="Q314" s="393">
        <v>11.0123</v>
      </c>
      <c r="R314" s="78">
        <v>10.9</v>
      </c>
      <c r="S314" s="463"/>
      <c r="T314"/>
      <c r="U314"/>
      <c r="V314"/>
      <c r="W314"/>
      <c r="X314"/>
      <c r="Y314"/>
      <c r="Z314"/>
      <c r="AA314"/>
    </row>
    <row r="315" spans="1:40" s="14" customFormat="1" ht="15" customHeight="1" x14ac:dyDescent="0.15">
      <c r="A315" s="75">
        <f ca="1">IFERROR(IF(AND(MAX($A$114:A314)&gt;A314+1, MAX($A$114:A314)&gt;20),0,IF(AND(D315="",G315=""),0,IF(OR(D315&gt;LimitSignB10, G315&gt;LimitSignB11),A314+1,0))),"")</f>
        <v>0</v>
      </c>
      <c r="B315" s="76" t="str">
        <f ca="1">IFERROR(MyTime(INDEX(INDIRECT("input!"&amp;$B$112&amp;":"&amp;$B$112),FirstRowInput+Integration*COUNT($B$114:B314)) )* $B$110,"")</f>
        <v/>
      </c>
      <c r="C315" s="77" t="str">
        <f ca="1">IFERROR(AVERAGE(INDEX(INDIRECT("input!" &amp; $C$112 &amp; ":" &amp; $C$112),FirstRowInput+Integration*COUNT($B$114:B314)):INDEX(INDIRECT("input!" &amp; $C$112 &amp; ":" &amp; $C$112),FirstRowInput+Integration*COUNT($B$114:B314)+Integration-1))*$C$110,"")</f>
        <v/>
      </c>
      <c r="D315" s="77" t="str">
        <f ca="1">IFERROR(AVERAGE(INDEX(INDIRECT("input!" &amp; $D$112 &amp; ":" &amp; $D$112),FirstRowInput+Integration*COUNT($B$114:B314)):INDEX(INDIRECT("input!" &amp; $D$112 &amp; ":" &amp; $D$112),FirstRowInput+Integration*COUNT($B$114:B314)+Integration-1))*$D$110,"")</f>
        <v/>
      </c>
      <c r="E315" s="77" t="str">
        <f ca="1">IFERROR(AVERAGE(INDEX(INDIRECT("input!" &amp; $E$112 &amp; ":" &amp; $E$112),FirstRowInput+Integration*COUNT($B$114:B314)):INDEX(INDIRECT("input!" &amp; $E$112 &amp; ":" &amp; $E$112),FirstRowInput+Integration*COUNT($B$114:B314)+Integration-1))*$E$110,"")</f>
        <v/>
      </c>
      <c r="F315" s="77" t="str">
        <f ca="1">IFERROR(AVERAGE(INDEX(INDIRECT("input!" &amp; $F$112 &amp; ":" &amp; $F$112),FirstRowInput+Integration*COUNT($B$114:B314)):INDEX(INDIRECT("input!" &amp; $F$112 &amp; ":" &amp; $F$112),FirstRowInput+Integration*COUNT($B$114:B314)+Integration-1))*$F$110,"")</f>
        <v/>
      </c>
      <c r="G315" s="77" t="str">
        <f ca="1">IFERROR(AVERAGE(INDEX(INDIRECT("input!" &amp; $G$112 &amp; ":" &amp; $G$112),FirstRowInput+Integration*COUNT($B$114:B314)):INDEX(INDIRECT("input!" &amp; $G$112 &amp; ":" &amp; $G$112),FirstRowInput+Integration*COUNT($B$114:B314)+Integration-1))*$G$110,"")</f>
        <v/>
      </c>
      <c r="H315" s="77" t="str">
        <f ca="1">IFERROR(AVERAGE(INDEX(INDIRECT("input!" &amp; $H$112 &amp; ":" &amp; $H$112),FirstRowInput+Integration*COUNT($B$114:B314)):INDEX(INDIRECT("input!" &amp; $H$112 &amp; ":" &amp; $H$112),FirstRowInput+Integration*COUNT($B$114:B314)+Integration-1))*$H$110,"")</f>
        <v/>
      </c>
      <c r="I315" s="42">
        <v>203</v>
      </c>
      <c r="J315"/>
      <c r="K315"/>
      <c r="L315"/>
      <c r="M315"/>
      <c r="N315"/>
      <c r="O315"/>
      <c r="P315"/>
      <c r="Q315"/>
      <c r="R315"/>
      <c r="S315" s="463"/>
      <c r="T315"/>
      <c r="U315"/>
      <c r="V315"/>
      <c r="W315"/>
      <c r="X315"/>
      <c r="Y315"/>
      <c r="Z315"/>
      <c r="AA315"/>
    </row>
    <row r="316" spans="1:40" s="14" customFormat="1" ht="15" customHeight="1" x14ac:dyDescent="0.15">
      <c r="A316" s="75">
        <f ca="1">IFERROR(IF(AND(MAX($A$114:A315)&gt;A315+1, MAX($A$114:A315)&gt;20),0,IF(AND(D316="",G316=""),0,IF(OR(D316&gt;LimitSignB10, G316&gt;LimitSignB11),A315+1,0))),"")</f>
        <v>0</v>
      </c>
      <c r="B316" s="76" t="str">
        <f ca="1">IFERROR(MyTime(INDEX(INDIRECT("input!"&amp;$B$112&amp;":"&amp;$B$112),FirstRowInput+Integration*COUNT($B$114:B315)) )* $B$110,"")</f>
        <v/>
      </c>
      <c r="C316" s="77" t="str">
        <f ca="1">IFERROR(AVERAGE(INDEX(INDIRECT("input!" &amp; $C$112 &amp; ":" &amp; $C$112),FirstRowInput+Integration*COUNT($B$114:B315)):INDEX(INDIRECT("input!" &amp; $C$112 &amp; ":" &amp; $C$112),FirstRowInput+Integration*COUNT($B$114:B315)+Integration-1))*$C$110,"")</f>
        <v/>
      </c>
      <c r="D316" s="77" t="str">
        <f ca="1">IFERROR(AVERAGE(INDEX(INDIRECT("input!" &amp; $D$112 &amp; ":" &amp; $D$112),FirstRowInput+Integration*COUNT($B$114:B315)):INDEX(INDIRECT("input!" &amp; $D$112 &amp; ":" &amp; $D$112),FirstRowInput+Integration*COUNT($B$114:B315)+Integration-1))*$D$110,"")</f>
        <v/>
      </c>
      <c r="E316" s="77" t="str">
        <f ca="1">IFERROR(AVERAGE(INDEX(INDIRECT("input!" &amp; $E$112 &amp; ":" &amp; $E$112),FirstRowInput+Integration*COUNT($B$114:B315)):INDEX(INDIRECT("input!" &amp; $E$112 &amp; ":" &amp; $E$112),FirstRowInput+Integration*COUNT($B$114:B315)+Integration-1))*$E$110,"")</f>
        <v/>
      </c>
      <c r="F316" s="77" t="str">
        <f ca="1">IFERROR(AVERAGE(INDEX(INDIRECT("input!" &amp; $F$112 &amp; ":" &amp; $F$112),FirstRowInput+Integration*COUNT($B$114:B315)):INDEX(INDIRECT("input!" &amp; $F$112 &amp; ":" &amp; $F$112),FirstRowInput+Integration*COUNT($B$114:B315)+Integration-1))*$F$110,"")</f>
        <v/>
      </c>
      <c r="G316" s="77" t="str">
        <f ca="1">IFERROR(AVERAGE(INDEX(INDIRECT("input!" &amp; $G$112 &amp; ":" &amp; $G$112),FirstRowInput+Integration*COUNT($B$114:B315)):INDEX(INDIRECT("input!" &amp; $G$112 &amp; ":" &amp; $G$112),FirstRowInput+Integration*COUNT($B$114:B315)+Integration-1))*$G$110,"")</f>
        <v/>
      </c>
      <c r="H316" s="77" t="str">
        <f ca="1">IFERROR(AVERAGE(INDEX(INDIRECT("input!" &amp; $H$112 &amp; ":" &amp; $H$112),FirstRowInput+Integration*COUNT($B$114:B315)):INDEX(INDIRECT("input!" &amp; $H$112 &amp; ":" &amp; $H$112),FirstRowInput+Integration*COUNT($B$114:B315)+Integration-1))*$H$110,"")</f>
        <v/>
      </c>
      <c r="I316" s="42">
        <v>204</v>
      </c>
      <c r="J316"/>
      <c r="K316" s="86"/>
      <c r="L316"/>
      <c r="M316"/>
      <c r="N316"/>
      <c r="O316"/>
      <c r="P316"/>
      <c r="Q316"/>
      <c r="R316"/>
      <c r="S316" s="463"/>
      <c r="T316"/>
      <c r="U316"/>
      <c r="V316"/>
      <c r="W316"/>
      <c r="X316"/>
      <c r="Y316"/>
      <c r="Z316"/>
      <c r="AA316"/>
    </row>
    <row r="317" spans="1:40" s="14" customFormat="1" ht="15" customHeight="1" x14ac:dyDescent="0.15">
      <c r="A317" s="75">
        <f ca="1">IFERROR(IF(AND(MAX($A$114:A316)&gt;A316+1, MAX($A$114:A316)&gt;20),0,IF(AND(D317="",G317=""),0,IF(OR(D317&gt;LimitSignB10, G317&gt;LimitSignB11),A316+1,0))),"")</f>
        <v>0</v>
      </c>
      <c r="B317" s="76" t="str">
        <f ca="1">IFERROR(MyTime(INDEX(INDIRECT("input!"&amp;$B$112&amp;":"&amp;$B$112),FirstRowInput+Integration*COUNT($B$114:B316)) )* $B$110,"")</f>
        <v/>
      </c>
      <c r="C317" s="77" t="str">
        <f ca="1">IFERROR(AVERAGE(INDEX(INDIRECT("input!" &amp; $C$112 &amp; ":" &amp; $C$112),FirstRowInput+Integration*COUNT($B$114:B316)):INDEX(INDIRECT("input!" &amp; $C$112 &amp; ":" &amp; $C$112),FirstRowInput+Integration*COUNT($B$114:B316)+Integration-1))*$C$110,"")</f>
        <v/>
      </c>
      <c r="D317" s="77" t="str">
        <f ca="1">IFERROR(AVERAGE(INDEX(INDIRECT("input!" &amp; $D$112 &amp; ":" &amp; $D$112),FirstRowInput+Integration*COUNT($B$114:B316)):INDEX(INDIRECT("input!" &amp; $D$112 &amp; ":" &amp; $D$112),FirstRowInput+Integration*COUNT($B$114:B316)+Integration-1))*$D$110,"")</f>
        <v/>
      </c>
      <c r="E317" s="77" t="str">
        <f ca="1">IFERROR(AVERAGE(INDEX(INDIRECT("input!" &amp; $E$112 &amp; ":" &amp; $E$112),FirstRowInput+Integration*COUNT($B$114:B316)):INDEX(INDIRECT("input!" &amp; $E$112 &amp; ":" &amp; $E$112),FirstRowInput+Integration*COUNT($B$114:B316)+Integration-1))*$E$110,"")</f>
        <v/>
      </c>
      <c r="F317" s="77" t="str">
        <f ca="1">IFERROR(AVERAGE(INDEX(INDIRECT("input!" &amp; $F$112 &amp; ":" &amp; $F$112),FirstRowInput+Integration*COUNT($B$114:B316)):INDEX(INDIRECT("input!" &amp; $F$112 &amp; ":" &amp; $F$112),FirstRowInput+Integration*COUNT($B$114:B316)+Integration-1))*$F$110,"")</f>
        <v/>
      </c>
      <c r="G317" s="77" t="str">
        <f ca="1">IFERROR(AVERAGE(INDEX(INDIRECT("input!" &amp; $G$112 &amp; ":" &amp; $G$112),FirstRowInput+Integration*COUNT($B$114:B316)):INDEX(INDIRECT("input!" &amp; $G$112 &amp; ":" &amp; $G$112),FirstRowInput+Integration*COUNT($B$114:B316)+Integration-1))*$G$110,"")</f>
        <v/>
      </c>
      <c r="H317" s="77" t="str">
        <f ca="1">IFERROR(AVERAGE(INDEX(INDIRECT("input!" &amp; $H$112 &amp; ":" &amp; $H$112),FirstRowInput+Integration*COUNT($B$114:B316)):INDEX(INDIRECT("input!" &amp; $H$112 &amp; ":" &amp; $H$112),FirstRowInput+Integration*COUNT($B$114:B316)+Integration-1))*$H$110,"")</f>
        <v/>
      </c>
      <c r="I317" s="42">
        <v>205</v>
      </c>
      <c r="J317"/>
      <c r="K317" s="86"/>
      <c r="L317"/>
      <c r="M317"/>
      <c r="N317"/>
      <c r="O317"/>
      <c r="P317"/>
      <c r="Q317"/>
      <c r="R317"/>
      <c r="S317" s="463"/>
      <c r="T317"/>
      <c r="U317"/>
      <c r="V317"/>
      <c r="W317"/>
      <c r="X317"/>
      <c r="Y317"/>
      <c r="Z317"/>
      <c r="AA317"/>
    </row>
    <row r="318" spans="1:40" s="14" customFormat="1" ht="15" customHeight="1" x14ac:dyDescent="0.15">
      <c r="A318" s="75">
        <f ca="1">IFERROR(IF(AND(MAX($A$114:A317)&gt;A317+1, MAX($A$114:A317)&gt;20),0,IF(AND(D318="",G318=""),0,IF(OR(D318&gt;LimitSignB10, G318&gt;LimitSignB11),A317+1,0))),"")</f>
        <v>0</v>
      </c>
      <c r="B318" s="76" t="str">
        <f ca="1">IFERROR(MyTime(INDEX(INDIRECT("input!"&amp;$B$112&amp;":"&amp;$B$112),FirstRowInput+Integration*COUNT($B$114:B317)) )* $B$110,"")</f>
        <v/>
      </c>
      <c r="C318" s="77" t="str">
        <f ca="1">IFERROR(AVERAGE(INDEX(INDIRECT("input!" &amp; $C$112 &amp; ":" &amp; $C$112),FirstRowInput+Integration*COUNT($B$114:B317)):INDEX(INDIRECT("input!" &amp; $C$112 &amp; ":" &amp; $C$112),FirstRowInput+Integration*COUNT($B$114:B317)+Integration-1))*$C$110,"")</f>
        <v/>
      </c>
      <c r="D318" s="77" t="str">
        <f ca="1">IFERROR(AVERAGE(INDEX(INDIRECT("input!" &amp; $D$112 &amp; ":" &amp; $D$112),FirstRowInput+Integration*COUNT($B$114:B317)):INDEX(INDIRECT("input!" &amp; $D$112 &amp; ":" &amp; $D$112),FirstRowInput+Integration*COUNT($B$114:B317)+Integration-1))*$D$110,"")</f>
        <v/>
      </c>
      <c r="E318" s="77" t="str">
        <f ca="1">IFERROR(AVERAGE(INDEX(INDIRECT("input!" &amp; $E$112 &amp; ":" &amp; $E$112),FirstRowInput+Integration*COUNT($B$114:B317)):INDEX(INDIRECT("input!" &amp; $E$112 &amp; ":" &amp; $E$112),FirstRowInput+Integration*COUNT($B$114:B317)+Integration-1))*$E$110,"")</f>
        <v/>
      </c>
      <c r="F318" s="77" t="str">
        <f ca="1">IFERROR(AVERAGE(INDEX(INDIRECT("input!" &amp; $F$112 &amp; ":" &amp; $F$112),FirstRowInput+Integration*COUNT($B$114:B317)):INDEX(INDIRECT("input!" &amp; $F$112 &amp; ":" &amp; $F$112),FirstRowInput+Integration*COUNT($B$114:B317)+Integration-1))*$F$110,"")</f>
        <v/>
      </c>
      <c r="G318" s="77" t="str">
        <f ca="1">IFERROR(AVERAGE(INDEX(INDIRECT("input!" &amp; $G$112 &amp; ":" &amp; $G$112),FirstRowInput+Integration*COUNT($B$114:B317)):INDEX(INDIRECT("input!" &amp; $G$112 &amp; ":" &amp; $G$112),FirstRowInput+Integration*COUNT($B$114:B317)+Integration-1))*$G$110,"")</f>
        <v/>
      </c>
      <c r="H318" s="77" t="str">
        <f ca="1">IFERROR(AVERAGE(INDEX(INDIRECT("input!" &amp; $H$112 &amp; ":" &amp; $H$112),FirstRowInput+Integration*COUNT($B$114:B317)):INDEX(INDIRECT("input!" &amp; $H$112 &amp; ":" &amp; $H$112),FirstRowInput+Integration*COUNT($B$114:B317)+Integration-1))*$H$110,"")</f>
        <v/>
      </c>
      <c r="I318" s="42">
        <v>206</v>
      </c>
      <c r="J318"/>
      <c r="K318" s="86"/>
      <c r="L318"/>
      <c r="M318"/>
      <c r="N318"/>
      <c r="O318"/>
      <c r="P318"/>
      <c r="Q318"/>
      <c r="R318"/>
      <c r="S318" s="463"/>
      <c r="T318"/>
      <c r="U318"/>
      <c r="V318"/>
      <c r="W318"/>
      <c r="X318"/>
      <c r="Y318"/>
      <c r="Z318"/>
      <c r="AA318"/>
    </row>
    <row r="319" spans="1:40" s="14" customFormat="1" ht="15" customHeight="1" x14ac:dyDescent="0.15">
      <c r="A319" s="75">
        <f ca="1">IFERROR(IF(AND(MAX($A$114:A318)&gt;A318+1, MAX($A$114:A318)&gt;20),0,IF(AND(D319="",G319=""),0,IF(OR(D319&gt;LimitSignB10, G319&gt;LimitSignB11),A318+1,0))),"")</f>
        <v>0</v>
      </c>
      <c r="B319" s="76" t="str">
        <f ca="1">IFERROR(MyTime(INDEX(INDIRECT("input!"&amp;$B$112&amp;":"&amp;$B$112),FirstRowInput+Integration*COUNT($B$114:B318)) )* $B$110,"")</f>
        <v/>
      </c>
      <c r="C319" s="77" t="str">
        <f ca="1">IFERROR(AVERAGE(INDEX(INDIRECT("input!" &amp; $C$112 &amp; ":" &amp; $C$112),FirstRowInput+Integration*COUNT($B$114:B318)):INDEX(INDIRECT("input!" &amp; $C$112 &amp; ":" &amp; $C$112),FirstRowInput+Integration*COUNT($B$114:B318)+Integration-1))*$C$110,"")</f>
        <v/>
      </c>
      <c r="D319" s="77" t="str">
        <f ca="1">IFERROR(AVERAGE(INDEX(INDIRECT("input!" &amp; $D$112 &amp; ":" &amp; $D$112),FirstRowInput+Integration*COUNT($B$114:B318)):INDEX(INDIRECT("input!" &amp; $D$112 &amp; ":" &amp; $D$112),FirstRowInput+Integration*COUNT($B$114:B318)+Integration-1))*$D$110,"")</f>
        <v/>
      </c>
      <c r="E319" s="77" t="str">
        <f ca="1">IFERROR(AVERAGE(INDEX(INDIRECT("input!" &amp; $E$112 &amp; ":" &amp; $E$112),FirstRowInput+Integration*COUNT($B$114:B318)):INDEX(INDIRECT("input!" &amp; $E$112 &amp; ":" &amp; $E$112),FirstRowInput+Integration*COUNT($B$114:B318)+Integration-1))*$E$110,"")</f>
        <v/>
      </c>
      <c r="F319" s="77" t="str">
        <f ca="1">IFERROR(AVERAGE(INDEX(INDIRECT("input!" &amp; $F$112 &amp; ":" &amp; $F$112),FirstRowInput+Integration*COUNT($B$114:B318)):INDEX(INDIRECT("input!" &amp; $F$112 &amp; ":" &amp; $F$112),FirstRowInput+Integration*COUNT($B$114:B318)+Integration-1))*$F$110,"")</f>
        <v/>
      </c>
      <c r="G319" s="77" t="str">
        <f ca="1">IFERROR(AVERAGE(INDEX(INDIRECT("input!" &amp; $G$112 &amp; ":" &amp; $G$112),FirstRowInput+Integration*COUNT($B$114:B318)):INDEX(INDIRECT("input!" &amp; $G$112 &amp; ":" &amp; $G$112),FirstRowInput+Integration*COUNT($B$114:B318)+Integration-1))*$G$110,"")</f>
        <v/>
      </c>
      <c r="H319" s="77" t="str">
        <f ca="1">IFERROR(AVERAGE(INDEX(INDIRECT("input!" &amp; $H$112 &amp; ":" &amp; $H$112),FirstRowInput+Integration*COUNT($B$114:B318)):INDEX(INDIRECT("input!" &amp; $H$112 &amp; ":" &amp; $H$112),FirstRowInput+Integration*COUNT($B$114:B318)+Integration-1))*$H$110,"")</f>
        <v/>
      </c>
      <c r="I319" s="42">
        <v>207</v>
      </c>
      <c r="J319"/>
      <c r="K319" s="86"/>
      <c r="L319"/>
      <c r="M319"/>
      <c r="N319"/>
      <c r="O319"/>
      <c r="P319"/>
      <c r="Q319"/>
      <c r="R319"/>
      <c r="S319" s="463"/>
      <c r="T319"/>
      <c r="U319"/>
      <c r="V319"/>
      <c r="W319"/>
      <c r="X319"/>
      <c r="Y319"/>
      <c r="Z319"/>
      <c r="AA319"/>
      <c r="AB319"/>
      <c r="AC319"/>
      <c r="AD319"/>
      <c r="AE319"/>
      <c r="AF319"/>
      <c r="AG319"/>
      <c r="AH319"/>
      <c r="AI319"/>
      <c r="AJ319"/>
      <c r="AK319"/>
      <c r="AL319"/>
      <c r="AM319"/>
      <c r="AN319"/>
    </row>
    <row r="320" spans="1:40" s="14" customFormat="1" ht="15" customHeight="1" x14ac:dyDescent="0.15">
      <c r="A320" s="75">
        <f ca="1">IFERROR(IF(AND(MAX($A$114:A319)&gt;A319+1, MAX($A$114:A319)&gt;20),0,IF(AND(D320="",G320=""),0,IF(OR(D320&gt;LimitSignB10, G320&gt;LimitSignB11),A319+1,0))),"")</f>
        <v>0</v>
      </c>
      <c r="B320" s="76" t="str">
        <f ca="1">IFERROR(MyTime(INDEX(INDIRECT("input!"&amp;$B$112&amp;":"&amp;$B$112),FirstRowInput+Integration*COUNT($B$114:B319)) )* $B$110,"")</f>
        <v/>
      </c>
      <c r="C320" s="77" t="str">
        <f ca="1">IFERROR(AVERAGE(INDEX(INDIRECT("input!" &amp; $C$112 &amp; ":" &amp; $C$112),FirstRowInput+Integration*COUNT($B$114:B319)):INDEX(INDIRECT("input!" &amp; $C$112 &amp; ":" &amp; $C$112),FirstRowInput+Integration*COUNT($B$114:B319)+Integration-1))*$C$110,"")</f>
        <v/>
      </c>
      <c r="D320" s="77" t="str">
        <f ca="1">IFERROR(AVERAGE(INDEX(INDIRECT("input!" &amp; $D$112 &amp; ":" &amp; $D$112),FirstRowInput+Integration*COUNT($B$114:B319)):INDEX(INDIRECT("input!" &amp; $D$112 &amp; ":" &amp; $D$112),FirstRowInput+Integration*COUNT($B$114:B319)+Integration-1))*$D$110,"")</f>
        <v/>
      </c>
      <c r="E320" s="77" t="str">
        <f ca="1">IFERROR(AVERAGE(INDEX(INDIRECT("input!" &amp; $E$112 &amp; ":" &amp; $E$112),FirstRowInput+Integration*COUNT($B$114:B319)):INDEX(INDIRECT("input!" &amp; $E$112 &amp; ":" &amp; $E$112),FirstRowInput+Integration*COUNT($B$114:B319)+Integration-1))*$E$110,"")</f>
        <v/>
      </c>
      <c r="F320" s="77" t="str">
        <f ca="1">IFERROR(AVERAGE(INDEX(INDIRECT("input!" &amp; $F$112 &amp; ":" &amp; $F$112),FirstRowInput+Integration*COUNT($B$114:B319)):INDEX(INDIRECT("input!" &amp; $F$112 &amp; ":" &amp; $F$112),FirstRowInput+Integration*COUNT($B$114:B319)+Integration-1))*$F$110,"")</f>
        <v/>
      </c>
      <c r="G320" s="77" t="str">
        <f ca="1">IFERROR(AVERAGE(INDEX(INDIRECT("input!" &amp; $G$112 &amp; ":" &amp; $G$112),FirstRowInput+Integration*COUNT($B$114:B319)):INDEX(INDIRECT("input!" &amp; $G$112 &amp; ":" &amp; $G$112),FirstRowInput+Integration*COUNT($B$114:B319)+Integration-1))*$G$110,"")</f>
        <v/>
      </c>
      <c r="H320" s="77" t="str">
        <f ca="1">IFERROR(AVERAGE(INDEX(INDIRECT("input!" &amp; $H$112 &amp; ":" &amp; $H$112),FirstRowInput+Integration*COUNT($B$114:B319)):INDEX(INDIRECT("input!" &amp; $H$112 &amp; ":" &amp; $H$112),FirstRowInput+Integration*COUNT($B$114:B319)+Integration-1))*$H$110,"")</f>
        <v/>
      </c>
      <c r="I320" s="42">
        <v>208</v>
      </c>
      <c r="J320"/>
      <c r="K320" s="86"/>
      <c r="L320"/>
      <c r="M320"/>
      <c r="N320"/>
      <c r="O320"/>
      <c r="P320"/>
      <c r="Q320"/>
      <c r="R320"/>
      <c r="S320" s="463"/>
      <c r="T320"/>
      <c r="U320"/>
      <c r="V320"/>
      <c r="W320"/>
      <c r="X320"/>
      <c r="Y320"/>
      <c r="Z320"/>
      <c r="AA320"/>
      <c r="AB320"/>
      <c r="AC320"/>
      <c r="AD320"/>
      <c r="AE320"/>
      <c r="AF320"/>
      <c r="AG320"/>
      <c r="AH320"/>
      <c r="AI320"/>
      <c r="AJ320"/>
      <c r="AK320"/>
      <c r="AL320"/>
      <c r="AM320"/>
      <c r="AN320"/>
    </row>
    <row r="321" spans="1:40" s="14" customFormat="1" ht="15" customHeight="1" x14ac:dyDescent="0.15">
      <c r="A321" s="75">
        <f ca="1">IFERROR(IF(AND(MAX($A$114:A320)&gt;A320+1, MAX($A$114:A320)&gt;20),0,IF(AND(D321="",G321=""),0,IF(OR(D321&gt;LimitSignB10, G321&gt;LimitSignB11),A320+1,0))),"")</f>
        <v>0</v>
      </c>
      <c r="B321" s="76" t="str">
        <f ca="1">IFERROR(MyTime(INDEX(INDIRECT("input!"&amp;$B$112&amp;":"&amp;$B$112),FirstRowInput+Integration*COUNT($B$114:B320)) )* $B$110,"")</f>
        <v/>
      </c>
      <c r="C321" s="77" t="str">
        <f ca="1">IFERROR(AVERAGE(INDEX(INDIRECT("input!" &amp; $C$112 &amp; ":" &amp; $C$112),FirstRowInput+Integration*COUNT($B$114:B320)):INDEX(INDIRECT("input!" &amp; $C$112 &amp; ":" &amp; $C$112),FirstRowInput+Integration*COUNT($B$114:B320)+Integration-1))*$C$110,"")</f>
        <v/>
      </c>
      <c r="D321" s="77" t="str">
        <f ca="1">IFERROR(AVERAGE(INDEX(INDIRECT("input!" &amp; $D$112 &amp; ":" &amp; $D$112),FirstRowInput+Integration*COUNT($B$114:B320)):INDEX(INDIRECT("input!" &amp; $D$112 &amp; ":" &amp; $D$112),FirstRowInput+Integration*COUNT($B$114:B320)+Integration-1))*$D$110,"")</f>
        <v/>
      </c>
      <c r="E321" s="77" t="str">
        <f ca="1">IFERROR(AVERAGE(INDEX(INDIRECT("input!" &amp; $E$112 &amp; ":" &amp; $E$112),FirstRowInput+Integration*COUNT($B$114:B320)):INDEX(INDIRECT("input!" &amp; $E$112 &amp; ":" &amp; $E$112),FirstRowInput+Integration*COUNT($B$114:B320)+Integration-1))*$E$110,"")</f>
        <v/>
      </c>
      <c r="F321" s="77" t="str">
        <f ca="1">IFERROR(AVERAGE(INDEX(INDIRECT("input!" &amp; $F$112 &amp; ":" &amp; $F$112),FirstRowInput+Integration*COUNT($B$114:B320)):INDEX(INDIRECT("input!" &amp; $F$112 &amp; ":" &amp; $F$112),FirstRowInput+Integration*COUNT($B$114:B320)+Integration-1))*$F$110,"")</f>
        <v/>
      </c>
      <c r="G321" s="77" t="str">
        <f ca="1">IFERROR(AVERAGE(INDEX(INDIRECT("input!" &amp; $G$112 &amp; ":" &amp; $G$112),FirstRowInput+Integration*COUNT($B$114:B320)):INDEX(INDIRECT("input!" &amp; $G$112 &amp; ":" &amp; $G$112),FirstRowInput+Integration*COUNT($B$114:B320)+Integration-1))*$G$110,"")</f>
        <v/>
      </c>
      <c r="H321" s="77" t="str">
        <f ca="1">IFERROR(AVERAGE(INDEX(INDIRECT("input!" &amp; $H$112 &amp; ":" &amp; $H$112),FirstRowInput+Integration*COUNT($B$114:B320)):INDEX(INDIRECT("input!" &amp; $H$112 &amp; ":" &amp; $H$112),FirstRowInput+Integration*COUNT($B$114:B320)+Integration-1))*$H$110,"")</f>
        <v/>
      </c>
      <c r="I321" s="42">
        <v>209</v>
      </c>
      <c r="J321"/>
      <c r="K321" s="86"/>
      <c r="L321"/>
      <c r="M321"/>
      <c r="N321"/>
      <c r="O321"/>
      <c r="P321"/>
      <c r="Q321"/>
      <c r="R321"/>
      <c r="S321" s="463"/>
      <c r="T321"/>
      <c r="U321"/>
      <c r="V321"/>
      <c r="W321"/>
      <c r="X321"/>
      <c r="Y321"/>
      <c r="Z321"/>
      <c r="AA321"/>
      <c r="AB321"/>
      <c r="AC321"/>
      <c r="AD321"/>
      <c r="AE321"/>
      <c r="AF321"/>
      <c r="AG321"/>
      <c r="AH321"/>
      <c r="AI321"/>
      <c r="AJ321"/>
      <c r="AK321"/>
      <c r="AL321"/>
      <c r="AM321"/>
      <c r="AN321"/>
    </row>
    <row r="322" spans="1:40" s="14" customFormat="1" ht="15" customHeight="1" x14ac:dyDescent="0.15">
      <c r="A322" s="75">
        <f ca="1">IFERROR(IF(AND(MAX($A$114:A321)&gt;A321+1, MAX($A$114:A321)&gt;20),0,IF(AND(D322="",G322=""),0,IF(OR(D322&gt;LimitSignB10, G322&gt;LimitSignB11),A321+1,0))),"")</f>
        <v>0</v>
      </c>
      <c r="B322" s="76" t="str">
        <f ca="1">IFERROR(MyTime(INDEX(INDIRECT("input!"&amp;$B$112&amp;":"&amp;$B$112),FirstRowInput+Integration*COUNT($B$114:B321)) )* $B$110,"")</f>
        <v/>
      </c>
      <c r="C322" s="77" t="str">
        <f ca="1">IFERROR(AVERAGE(INDEX(INDIRECT("input!" &amp; $C$112 &amp; ":" &amp; $C$112),FirstRowInput+Integration*COUNT($B$114:B321)):INDEX(INDIRECT("input!" &amp; $C$112 &amp; ":" &amp; $C$112),FirstRowInput+Integration*COUNT($B$114:B321)+Integration-1))*$C$110,"")</f>
        <v/>
      </c>
      <c r="D322" s="77" t="str">
        <f ca="1">IFERROR(AVERAGE(INDEX(INDIRECT("input!" &amp; $D$112 &amp; ":" &amp; $D$112),FirstRowInput+Integration*COUNT($B$114:B321)):INDEX(INDIRECT("input!" &amp; $D$112 &amp; ":" &amp; $D$112),FirstRowInput+Integration*COUNT($B$114:B321)+Integration-1))*$D$110,"")</f>
        <v/>
      </c>
      <c r="E322" s="77" t="str">
        <f ca="1">IFERROR(AVERAGE(INDEX(INDIRECT("input!" &amp; $E$112 &amp; ":" &amp; $E$112),FirstRowInput+Integration*COUNT($B$114:B321)):INDEX(INDIRECT("input!" &amp; $E$112 &amp; ":" &amp; $E$112),FirstRowInput+Integration*COUNT($B$114:B321)+Integration-1))*$E$110,"")</f>
        <v/>
      </c>
      <c r="F322" s="77" t="str">
        <f ca="1">IFERROR(AVERAGE(INDEX(INDIRECT("input!" &amp; $F$112 &amp; ":" &amp; $F$112),FirstRowInput+Integration*COUNT($B$114:B321)):INDEX(INDIRECT("input!" &amp; $F$112 &amp; ":" &amp; $F$112),FirstRowInput+Integration*COUNT($B$114:B321)+Integration-1))*$F$110,"")</f>
        <v/>
      </c>
      <c r="G322" s="77" t="str">
        <f ca="1">IFERROR(AVERAGE(INDEX(INDIRECT("input!" &amp; $G$112 &amp; ":" &amp; $G$112),FirstRowInput+Integration*COUNT($B$114:B321)):INDEX(INDIRECT("input!" &amp; $G$112 &amp; ":" &amp; $G$112),FirstRowInput+Integration*COUNT($B$114:B321)+Integration-1))*$G$110,"")</f>
        <v/>
      </c>
      <c r="H322" s="77" t="str">
        <f ca="1">IFERROR(AVERAGE(INDEX(INDIRECT("input!" &amp; $H$112 &amp; ":" &amp; $H$112),FirstRowInput+Integration*COUNT($B$114:B321)):INDEX(INDIRECT("input!" &amp; $H$112 &amp; ":" &amp; $H$112),FirstRowInput+Integration*COUNT($B$114:B321)+Integration-1))*$H$110,"")</f>
        <v/>
      </c>
      <c r="I322" s="42">
        <v>210</v>
      </c>
      <c r="J322"/>
      <c r="K322" s="86"/>
      <c r="L322"/>
      <c r="M322"/>
      <c r="N322"/>
      <c r="O322"/>
      <c r="P322"/>
      <c r="Q322"/>
      <c r="R322"/>
      <c r="S322" s="463"/>
      <c r="T322"/>
      <c r="U322"/>
      <c r="V322"/>
      <c r="W322"/>
      <c r="X322"/>
      <c r="Y322"/>
      <c r="Z322"/>
      <c r="AA322"/>
      <c r="AB322"/>
      <c r="AC322"/>
      <c r="AD322"/>
      <c r="AE322"/>
      <c r="AF322"/>
      <c r="AG322"/>
      <c r="AH322"/>
      <c r="AI322"/>
      <c r="AJ322"/>
      <c r="AK322"/>
      <c r="AL322"/>
      <c r="AM322"/>
      <c r="AN322"/>
    </row>
    <row r="323" spans="1:40" s="14" customFormat="1" ht="15" customHeight="1" x14ac:dyDescent="0.15">
      <c r="A323" s="75">
        <f ca="1">IFERROR(IF(AND(MAX($A$114:A322)&gt;A322+1, MAX($A$114:A322)&gt;20),0,IF(AND(D323="",G323=""),0,IF(OR(D323&gt;LimitSignB10, G323&gt;LimitSignB11),A322+1,0))),"")</f>
        <v>0</v>
      </c>
      <c r="B323" s="76" t="str">
        <f ca="1">IFERROR(MyTime(INDEX(INDIRECT("input!"&amp;$B$112&amp;":"&amp;$B$112),FirstRowInput+Integration*COUNT($B$114:B322)) )* $B$110,"")</f>
        <v/>
      </c>
      <c r="C323" s="77" t="str">
        <f ca="1">IFERROR(AVERAGE(INDEX(INDIRECT("input!" &amp; $C$112 &amp; ":" &amp; $C$112),FirstRowInput+Integration*COUNT($B$114:B322)):INDEX(INDIRECT("input!" &amp; $C$112 &amp; ":" &amp; $C$112),FirstRowInput+Integration*COUNT($B$114:B322)+Integration-1))*$C$110,"")</f>
        <v/>
      </c>
      <c r="D323" s="77" t="str">
        <f ca="1">IFERROR(AVERAGE(INDEX(INDIRECT("input!" &amp; $D$112 &amp; ":" &amp; $D$112),FirstRowInput+Integration*COUNT($B$114:B322)):INDEX(INDIRECT("input!" &amp; $D$112 &amp; ":" &amp; $D$112),FirstRowInput+Integration*COUNT($B$114:B322)+Integration-1))*$D$110,"")</f>
        <v/>
      </c>
      <c r="E323" s="77" t="str">
        <f ca="1">IFERROR(AVERAGE(INDEX(INDIRECT("input!" &amp; $E$112 &amp; ":" &amp; $E$112),FirstRowInput+Integration*COUNT($B$114:B322)):INDEX(INDIRECT("input!" &amp; $E$112 &amp; ":" &amp; $E$112),FirstRowInput+Integration*COUNT($B$114:B322)+Integration-1))*$E$110,"")</f>
        <v/>
      </c>
      <c r="F323" s="77" t="str">
        <f ca="1">IFERROR(AVERAGE(INDEX(INDIRECT("input!" &amp; $F$112 &amp; ":" &amp; $F$112),FirstRowInput+Integration*COUNT($B$114:B322)):INDEX(INDIRECT("input!" &amp; $F$112 &amp; ":" &amp; $F$112),FirstRowInput+Integration*COUNT($B$114:B322)+Integration-1))*$F$110,"")</f>
        <v/>
      </c>
      <c r="G323" s="77" t="str">
        <f ca="1">IFERROR(AVERAGE(INDEX(INDIRECT("input!" &amp; $G$112 &amp; ":" &amp; $G$112),FirstRowInput+Integration*COUNT($B$114:B322)):INDEX(INDIRECT("input!" &amp; $G$112 &amp; ":" &amp; $G$112),FirstRowInput+Integration*COUNT($B$114:B322)+Integration-1))*$G$110,"")</f>
        <v/>
      </c>
      <c r="H323" s="77" t="str">
        <f ca="1">IFERROR(AVERAGE(INDEX(INDIRECT("input!" &amp; $H$112 &amp; ":" &amp; $H$112),FirstRowInput+Integration*COUNT($B$114:B322)):INDEX(INDIRECT("input!" &amp; $H$112 &amp; ":" &amp; $H$112),FirstRowInput+Integration*COUNT($B$114:B322)+Integration-1))*$H$110,"")</f>
        <v/>
      </c>
      <c r="I323" s="42">
        <v>211</v>
      </c>
      <c r="J323"/>
      <c r="K323" s="86"/>
      <c r="L323"/>
      <c r="M323"/>
      <c r="N323"/>
      <c r="O323"/>
      <c r="P323"/>
      <c r="Q323"/>
      <c r="R323"/>
      <c r="S323" s="463"/>
      <c r="T323"/>
      <c r="U323"/>
      <c r="V323"/>
      <c r="W323"/>
      <c r="X323"/>
      <c r="Y323"/>
      <c r="Z323"/>
      <c r="AA323"/>
      <c r="AB323"/>
      <c r="AC323"/>
      <c r="AD323"/>
      <c r="AE323"/>
      <c r="AF323"/>
      <c r="AG323"/>
      <c r="AH323"/>
      <c r="AI323"/>
      <c r="AJ323"/>
      <c r="AK323"/>
      <c r="AL323"/>
      <c r="AM323"/>
      <c r="AN323"/>
    </row>
    <row r="324" spans="1:40" s="14" customFormat="1" ht="15" customHeight="1" x14ac:dyDescent="0.15">
      <c r="A324" s="75">
        <f ca="1">IFERROR(IF(AND(MAX($A$114:A323)&gt;A323+1, MAX($A$114:A323)&gt;20),0,IF(AND(D324="",G324=""),0,IF(OR(D324&gt;LimitSignB10, G324&gt;LimitSignB11),A323+1,0))),"")</f>
        <v>0</v>
      </c>
      <c r="B324" s="76" t="str">
        <f ca="1">IFERROR(MyTime(INDEX(INDIRECT("input!"&amp;$B$112&amp;":"&amp;$B$112),FirstRowInput+Integration*COUNT($B$114:B323)) )* $B$110,"")</f>
        <v/>
      </c>
      <c r="C324" s="77" t="str">
        <f ca="1">IFERROR(AVERAGE(INDEX(INDIRECT("input!" &amp; $C$112 &amp; ":" &amp; $C$112),FirstRowInput+Integration*COUNT($B$114:B323)):INDEX(INDIRECT("input!" &amp; $C$112 &amp; ":" &amp; $C$112),FirstRowInput+Integration*COUNT($B$114:B323)+Integration-1))*$C$110,"")</f>
        <v/>
      </c>
      <c r="D324" s="77" t="str">
        <f ca="1">IFERROR(AVERAGE(INDEX(INDIRECT("input!" &amp; $D$112 &amp; ":" &amp; $D$112),FirstRowInput+Integration*COUNT($B$114:B323)):INDEX(INDIRECT("input!" &amp; $D$112 &amp; ":" &amp; $D$112),FirstRowInput+Integration*COUNT($B$114:B323)+Integration-1))*$D$110,"")</f>
        <v/>
      </c>
      <c r="E324" s="77" t="str">
        <f ca="1">IFERROR(AVERAGE(INDEX(INDIRECT("input!" &amp; $E$112 &amp; ":" &amp; $E$112),FirstRowInput+Integration*COUNT($B$114:B323)):INDEX(INDIRECT("input!" &amp; $E$112 &amp; ":" &amp; $E$112),FirstRowInput+Integration*COUNT($B$114:B323)+Integration-1))*$E$110,"")</f>
        <v/>
      </c>
      <c r="F324" s="77" t="str">
        <f ca="1">IFERROR(AVERAGE(INDEX(INDIRECT("input!" &amp; $F$112 &amp; ":" &amp; $F$112),FirstRowInput+Integration*COUNT($B$114:B323)):INDEX(INDIRECT("input!" &amp; $F$112 &amp; ":" &amp; $F$112),FirstRowInput+Integration*COUNT($B$114:B323)+Integration-1))*$F$110,"")</f>
        <v/>
      </c>
      <c r="G324" s="77" t="str">
        <f ca="1">IFERROR(AVERAGE(INDEX(INDIRECT("input!" &amp; $G$112 &amp; ":" &amp; $G$112),FirstRowInput+Integration*COUNT($B$114:B323)):INDEX(INDIRECT("input!" &amp; $G$112 &amp; ":" &amp; $G$112),FirstRowInput+Integration*COUNT($B$114:B323)+Integration-1))*$G$110,"")</f>
        <v/>
      </c>
      <c r="H324" s="77" t="str">
        <f ca="1">IFERROR(AVERAGE(INDEX(INDIRECT("input!" &amp; $H$112 &amp; ":" &amp; $H$112),FirstRowInput+Integration*COUNT($B$114:B323)):INDEX(INDIRECT("input!" &amp; $H$112 &amp; ":" &amp; $H$112),FirstRowInput+Integration*COUNT($B$114:B323)+Integration-1))*$H$110,"")</f>
        <v/>
      </c>
      <c r="I324" s="42">
        <v>212</v>
      </c>
      <c r="J324"/>
      <c r="K324" s="86"/>
      <c r="L324"/>
      <c r="M324"/>
      <c r="N324"/>
      <c r="O324"/>
      <c r="P324"/>
      <c r="Q324"/>
      <c r="R324"/>
      <c r="S324" s="463"/>
      <c r="T324"/>
      <c r="U324"/>
      <c r="V324"/>
      <c r="W324"/>
      <c r="X324"/>
      <c r="Y324"/>
      <c r="Z324"/>
      <c r="AA324"/>
      <c r="AB324"/>
      <c r="AC324"/>
      <c r="AD324"/>
      <c r="AE324"/>
      <c r="AF324"/>
      <c r="AG324"/>
      <c r="AH324"/>
      <c r="AI324"/>
      <c r="AJ324"/>
      <c r="AK324"/>
      <c r="AL324"/>
      <c r="AM324"/>
      <c r="AN324"/>
    </row>
    <row r="325" spans="1:40" s="14" customFormat="1" ht="15" customHeight="1" x14ac:dyDescent="0.15">
      <c r="A325" s="75">
        <f ca="1">IFERROR(IF(AND(MAX($A$114:A324)&gt;A324+1, MAX($A$114:A324)&gt;20),0,IF(AND(D325="",G325=""),0,IF(OR(D325&gt;LimitSignB10, G325&gt;LimitSignB11),A324+1,0))),"")</f>
        <v>0</v>
      </c>
      <c r="B325" s="76" t="str">
        <f ca="1">IFERROR(MyTime(INDEX(INDIRECT("input!"&amp;$B$112&amp;":"&amp;$B$112),FirstRowInput+Integration*COUNT($B$114:B324)) )* $B$110,"")</f>
        <v/>
      </c>
      <c r="C325" s="77" t="str">
        <f ca="1">IFERROR(AVERAGE(INDEX(INDIRECT("input!" &amp; $C$112 &amp; ":" &amp; $C$112),FirstRowInput+Integration*COUNT($B$114:B324)):INDEX(INDIRECT("input!" &amp; $C$112 &amp; ":" &amp; $C$112),FirstRowInput+Integration*COUNT($B$114:B324)+Integration-1))*$C$110,"")</f>
        <v/>
      </c>
      <c r="D325" s="77" t="str">
        <f ca="1">IFERROR(AVERAGE(INDEX(INDIRECT("input!" &amp; $D$112 &amp; ":" &amp; $D$112),FirstRowInput+Integration*COUNT($B$114:B324)):INDEX(INDIRECT("input!" &amp; $D$112 &amp; ":" &amp; $D$112),FirstRowInput+Integration*COUNT($B$114:B324)+Integration-1))*$D$110,"")</f>
        <v/>
      </c>
      <c r="E325" s="77" t="str">
        <f ca="1">IFERROR(AVERAGE(INDEX(INDIRECT("input!" &amp; $E$112 &amp; ":" &amp; $E$112),FirstRowInput+Integration*COUNT($B$114:B324)):INDEX(INDIRECT("input!" &amp; $E$112 &amp; ":" &amp; $E$112),FirstRowInput+Integration*COUNT($B$114:B324)+Integration-1))*$E$110,"")</f>
        <v/>
      </c>
      <c r="F325" s="77" t="str">
        <f ca="1">IFERROR(AVERAGE(INDEX(INDIRECT("input!" &amp; $F$112 &amp; ":" &amp; $F$112),FirstRowInput+Integration*COUNT($B$114:B324)):INDEX(INDIRECT("input!" &amp; $F$112 &amp; ":" &amp; $F$112),FirstRowInput+Integration*COUNT($B$114:B324)+Integration-1))*$F$110,"")</f>
        <v/>
      </c>
      <c r="G325" s="77" t="str">
        <f ca="1">IFERROR(AVERAGE(INDEX(INDIRECT("input!" &amp; $G$112 &amp; ":" &amp; $G$112),FirstRowInput+Integration*COUNT($B$114:B324)):INDEX(INDIRECT("input!" &amp; $G$112 &amp; ":" &amp; $G$112),FirstRowInput+Integration*COUNT($B$114:B324)+Integration-1))*$G$110,"")</f>
        <v/>
      </c>
      <c r="H325" s="77" t="str">
        <f ca="1">IFERROR(AVERAGE(INDEX(INDIRECT("input!" &amp; $H$112 &amp; ":" &amp; $H$112),FirstRowInput+Integration*COUNT($B$114:B324)):INDEX(INDIRECT("input!" &amp; $H$112 &amp; ":" &amp; $H$112),FirstRowInput+Integration*COUNT($B$114:B324)+Integration-1))*$H$110,"")</f>
        <v/>
      </c>
      <c r="I325" s="42">
        <v>213</v>
      </c>
      <c r="J325"/>
      <c r="K325" s="86"/>
      <c r="L325"/>
      <c r="M325"/>
      <c r="N325"/>
      <c r="O325"/>
      <c r="P325"/>
      <c r="Q325"/>
      <c r="R325"/>
      <c r="S325" s="463"/>
      <c r="T325"/>
      <c r="U325"/>
      <c r="V325"/>
      <c r="W325"/>
      <c r="X325"/>
      <c r="Y325"/>
      <c r="Z325"/>
      <c r="AA325"/>
      <c r="AB325"/>
      <c r="AC325"/>
      <c r="AD325"/>
      <c r="AE325"/>
      <c r="AF325"/>
      <c r="AG325"/>
      <c r="AH325"/>
      <c r="AI325"/>
      <c r="AJ325"/>
      <c r="AK325"/>
      <c r="AL325"/>
      <c r="AM325"/>
      <c r="AN325"/>
    </row>
    <row r="326" spans="1:40" s="14" customFormat="1" ht="15" customHeight="1" x14ac:dyDescent="0.15">
      <c r="A326" s="75">
        <f ca="1">IFERROR(IF(AND(MAX($A$114:A325)&gt;A325+1, MAX($A$114:A325)&gt;20),0,IF(AND(D326="",G326=""),0,IF(OR(D326&gt;LimitSignB10, G326&gt;LimitSignB11),A325+1,0))),"")</f>
        <v>0</v>
      </c>
      <c r="B326" s="76" t="str">
        <f ca="1">IFERROR(MyTime(INDEX(INDIRECT("input!"&amp;$B$112&amp;":"&amp;$B$112),FirstRowInput+Integration*COUNT($B$114:B325)) )* $B$110,"")</f>
        <v/>
      </c>
      <c r="C326" s="77" t="str">
        <f ca="1">IFERROR(AVERAGE(INDEX(INDIRECT("input!" &amp; $C$112 &amp; ":" &amp; $C$112),FirstRowInput+Integration*COUNT($B$114:B325)):INDEX(INDIRECT("input!" &amp; $C$112 &amp; ":" &amp; $C$112),FirstRowInput+Integration*COUNT($B$114:B325)+Integration-1))*$C$110,"")</f>
        <v/>
      </c>
      <c r="D326" s="77" t="str">
        <f ca="1">IFERROR(AVERAGE(INDEX(INDIRECT("input!" &amp; $D$112 &amp; ":" &amp; $D$112),FirstRowInput+Integration*COUNT($B$114:B325)):INDEX(INDIRECT("input!" &amp; $D$112 &amp; ":" &amp; $D$112),FirstRowInput+Integration*COUNT($B$114:B325)+Integration-1))*$D$110,"")</f>
        <v/>
      </c>
      <c r="E326" s="77" t="str">
        <f ca="1">IFERROR(AVERAGE(INDEX(INDIRECT("input!" &amp; $E$112 &amp; ":" &amp; $E$112),FirstRowInput+Integration*COUNT($B$114:B325)):INDEX(INDIRECT("input!" &amp; $E$112 &amp; ":" &amp; $E$112),FirstRowInput+Integration*COUNT($B$114:B325)+Integration-1))*$E$110,"")</f>
        <v/>
      </c>
      <c r="F326" s="77" t="str">
        <f ca="1">IFERROR(AVERAGE(INDEX(INDIRECT("input!" &amp; $F$112 &amp; ":" &amp; $F$112),FirstRowInput+Integration*COUNT($B$114:B325)):INDEX(INDIRECT("input!" &amp; $F$112 &amp; ":" &amp; $F$112),FirstRowInput+Integration*COUNT($B$114:B325)+Integration-1))*$F$110,"")</f>
        <v/>
      </c>
      <c r="G326" s="77" t="str">
        <f ca="1">IFERROR(AVERAGE(INDEX(INDIRECT("input!" &amp; $G$112 &amp; ":" &amp; $G$112),FirstRowInput+Integration*COUNT($B$114:B325)):INDEX(INDIRECT("input!" &amp; $G$112 &amp; ":" &amp; $G$112),FirstRowInput+Integration*COUNT($B$114:B325)+Integration-1))*$G$110,"")</f>
        <v/>
      </c>
      <c r="H326" s="77" t="str">
        <f ca="1">IFERROR(AVERAGE(INDEX(INDIRECT("input!" &amp; $H$112 &amp; ":" &amp; $H$112),FirstRowInput+Integration*COUNT($B$114:B325)):INDEX(INDIRECT("input!" &amp; $H$112 &amp; ":" &amp; $H$112),FirstRowInput+Integration*COUNT($B$114:B325)+Integration-1))*$H$110,"")</f>
        <v/>
      </c>
      <c r="I326" s="42">
        <v>214</v>
      </c>
      <c r="J326"/>
      <c r="K326" s="86"/>
      <c r="L326"/>
      <c r="M326"/>
      <c r="N326"/>
      <c r="O326"/>
      <c r="P326"/>
      <c r="Q326"/>
      <c r="R326"/>
      <c r="S326" s="463"/>
      <c r="T326"/>
      <c r="U326"/>
      <c r="V326"/>
      <c r="W326"/>
      <c r="X326"/>
      <c r="Y326"/>
      <c r="Z326"/>
      <c r="AA326"/>
      <c r="AB326"/>
      <c r="AC326"/>
      <c r="AD326"/>
      <c r="AE326"/>
      <c r="AF326"/>
      <c r="AG326"/>
      <c r="AH326"/>
      <c r="AI326"/>
      <c r="AJ326"/>
      <c r="AK326"/>
      <c r="AL326"/>
      <c r="AM326"/>
      <c r="AN326"/>
    </row>
    <row r="327" spans="1:40" s="14" customFormat="1" ht="15" customHeight="1" x14ac:dyDescent="0.15">
      <c r="A327" s="75">
        <f ca="1">IFERROR(IF(AND(MAX($A$114:A326)&gt;A326+1, MAX($A$114:A326)&gt;20),0,IF(AND(D327="",G327=""),0,IF(OR(D327&gt;LimitSignB10, G327&gt;LimitSignB11),A326+1,0))),"")</f>
        <v>0</v>
      </c>
      <c r="B327" s="76" t="str">
        <f ca="1">IFERROR(MyTime(INDEX(INDIRECT("input!"&amp;$B$112&amp;":"&amp;$B$112),FirstRowInput+Integration*COUNT($B$114:B326)) )* $B$110,"")</f>
        <v/>
      </c>
      <c r="C327" s="77" t="str">
        <f ca="1">IFERROR(AVERAGE(INDEX(INDIRECT("input!" &amp; $C$112 &amp; ":" &amp; $C$112),FirstRowInput+Integration*COUNT($B$114:B326)):INDEX(INDIRECT("input!" &amp; $C$112 &amp; ":" &amp; $C$112),FirstRowInput+Integration*COUNT($B$114:B326)+Integration-1))*$C$110,"")</f>
        <v/>
      </c>
      <c r="D327" s="77" t="str">
        <f ca="1">IFERROR(AVERAGE(INDEX(INDIRECT("input!" &amp; $D$112 &amp; ":" &amp; $D$112),FirstRowInput+Integration*COUNT($B$114:B326)):INDEX(INDIRECT("input!" &amp; $D$112 &amp; ":" &amp; $D$112),FirstRowInput+Integration*COUNT($B$114:B326)+Integration-1))*$D$110,"")</f>
        <v/>
      </c>
      <c r="E327" s="77" t="str">
        <f ca="1">IFERROR(AVERAGE(INDEX(INDIRECT("input!" &amp; $E$112 &amp; ":" &amp; $E$112),FirstRowInput+Integration*COUNT($B$114:B326)):INDEX(INDIRECT("input!" &amp; $E$112 &amp; ":" &amp; $E$112),FirstRowInput+Integration*COUNT($B$114:B326)+Integration-1))*$E$110,"")</f>
        <v/>
      </c>
      <c r="F327" s="77" t="str">
        <f ca="1">IFERROR(AVERAGE(INDEX(INDIRECT("input!" &amp; $F$112 &amp; ":" &amp; $F$112),FirstRowInput+Integration*COUNT($B$114:B326)):INDEX(INDIRECT("input!" &amp; $F$112 &amp; ":" &amp; $F$112),FirstRowInput+Integration*COUNT($B$114:B326)+Integration-1))*$F$110,"")</f>
        <v/>
      </c>
      <c r="G327" s="77" t="str">
        <f ca="1">IFERROR(AVERAGE(INDEX(INDIRECT("input!" &amp; $G$112 &amp; ":" &amp; $G$112),FirstRowInput+Integration*COUNT($B$114:B326)):INDEX(INDIRECT("input!" &amp; $G$112 &amp; ":" &amp; $G$112),FirstRowInput+Integration*COUNT($B$114:B326)+Integration-1))*$G$110,"")</f>
        <v/>
      </c>
      <c r="H327" s="77" t="str">
        <f ca="1">IFERROR(AVERAGE(INDEX(INDIRECT("input!" &amp; $H$112 &amp; ":" &amp; $H$112),FirstRowInput+Integration*COUNT($B$114:B326)):INDEX(INDIRECT("input!" &amp; $H$112 &amp; ":" &amp; $H$112),FirstRowInput+Integration*COUNT($B$114:B326)+Integration-1))*$H$110,"")</f>
        <v/>
      </c>
      <c r="I327" s="42">
        <v>215</v>
      </c>
      <c r="J327"/>
      <c r="K327" s="86"/>
      <c r="L327"/>
      <c r="M327"/>
      <c r="N327"/>
      <c r="O327"/>
      <c r="P327"/>
      <c r="Q327"/>
      <c r="R327"/>
      <c r="S327" s="463"/>
      <c r="T327"/>
      <c r="U327"/>
      <c r="V327"/>
      <c r="W327"/>
      <c r="X327"/>
      <c r="Y327"/>
      <c r="Z327"/>
      <c r="AA327"/>
      <c r="AB327"/>
      <c r="AC327"/>
      <c r="AD327"/>
      <c r="AE327"/>
      <c r="AF327"/>
      <c r="AG327"/>
      <c r="AH327"/>
      <c r="AI327"/>
      <c r="AJ327"/>
      <c r="AK327"/>
      <c r="AL327"/>
      <c r="AM327"/>
      <c r="AN327"/>
    </row>
    <row r="328" spans="1:40" s="14" customFormat="1" ht="15" customHeight="1" x14ac:dyDescent="0.15">
      <c r="A328" s="75">
        <f ca="1">IFERROR(IF(AND(MAX($A$114:A327)&gt;A327+1, MAX($A$114:A327)&gt;20),0,IF(AND(D328="",G328=""),0,IF(OR(D328&gt;LimitSignB10, G328&gt;LimitSignB11),A327+1,0))),"")</f>
        <v>0</v>
      </c>
      <c r="B328" s="76" t="str">
        <f ca="1">IFERROR(MyTime(INDEX(INDIRECT("input!"&amp;$B$112&amp;":"&amp;$B$112),FirstRowInput+Integration*COUNT($B$114:B327)) )* $B$110,"")</f>
        <v/>
      </c>
      <c r="C328" s="77" t="str">
        <f ca="1">IFERROR(AVERAGE(INDEX(INDIRECT("input!" &amp; $C$112 &amp; ":" &amp; $C$112),FirstRowInput+Integration*COUNT($B$114:B327)):INDEX(INDIRECT("input!" &amp; $C$112 &amp; ":" &amp; $C$112),FirstRowInput+Integration*COUNT($B$114:B327)+Integration-1))*$C$110,"")</f>
        <v/>
      </c>
      <c r="D328" s="77" t="str">
        <f ca="1">IFERROR(AVERAGE(INDEX(INDIRECT("input!" &amp; $D$112 &amp; ":" &amp; $D$112),FirstRowInput+Integration*COUNT($B$114:B327)):INDEX(INDIRECT("input!" &amp; $D$112 &amp; ":" &amp; $D$112),FirstRowInput+Integration*COUNT($B$114:B327)+Integration-1))*$D$110,"")</f>
        <v/>
      </c>
      <c r="E328" s="77" t="str">
        <f ca="1">IFERROR(AVERAGE(INDEX(INDIRECT("input!" &amp; $E$112 &amp; ":" &amp; $E$112),FirstRowInput+Integration*COUNT($B$114:B327)):INDEX(INDIRECT("input!" &amp; $E$112 &amp; ":" &amp; $E$112),FirstRowInput+Integration*COUNT($B$114:B327)+Integration-1))*$E$110,"")</f>
        <v/>
      </c>
      <c r="F328" s="77" t="str">
        <f ca="1">IFERROR(AVERAGE(INDEX(INDIRECT("input!" &amp; $F$112 &amp; ":" &amp; $F$112),FirstRowInput+Integration*COUNT($B$114:B327)):INDEX(INDIRECT("input!" &amp; $F$112 &amp; ":" &amp; $F$112),FirstRowInput+Integration*COUNT($B$114:B327)+Integration-1))*$F$110,"")</f>
        <v/>
      </c>
      <c r="G328" s="77" t="str">
        <f ca="1">IFERROR(AVERAGE(INDEX(INDIRECT("input!" &amp; $G$112 &amp; ":" &amp; $G$112),FirstRowInput+Integration*COUNT($B$114:B327)):INDEX(INDIRECT("input!" &amp; $G$112 &amp; ":" &amp; $G$112),FirstRowInput+Integration*COUNT($B$114:B327)+Integration-1))*$G$110,"")</f>
        <v/>
      </c>
      <c r="H328" s="77" t="str">
        <f ca="1">IFERROR(AVERAGE(INDEX(INDIRECT("input!" &amp; $H$112 &amp; ":" &amp; $H$112),FirstRowInput+Integration*COUNT($B$114:B327)):INDEX(INDIRECT("input!" &amp; $H$112 &amp; ":" &amp; $H$112),FirstRowInput+Integration*COUNT($B$114:B327)+Integration-1))*$H$110,"")</f>
        <v/>
      </c>
      <c r="I328" s="42">
        <v>216</v>
      </c>
      <c r="J328"/>
      <c r="K328" s="86"/>
      <c r="L328"/>
      <c r="M328"/>
      <c r="N328"/>
      <c r="O328"/>
      <c r="P328"/>
      <c r="Q328"/>
      <c r="R328"/>
      <c r="S328" s="463"/>
      <c r="T328"/>
      <c r="U328"/>
      <c r="V328"/>
      <c r="W328"/>
      <c r="X328"/>
      <c r="Y328"/>
      <c r="Z328"/>
      <c r="AA328"/>
      <c r="AB328"/>
      <c r="AC328"/>
      <c r="AD328"/>
      <c r="AE328"/>
      <c r="AF328"/>
      <c r="AG328"/>
      <c r="AH328"/>
      <c r="AI328"/>
      <c r="AJ328"/>
      <c r="AK328"/>
      <c r="AL328"/>
      <c r="AM328"/>
      <c r="AN328"/>
    </row>
    <row r="329" spans="1:40" s="14" customFormat="1" ht="15" customHeight="1" x14ac:dyDescent="0.15">
      <c r="A329" s="75">
        <f ca="1">IFERROR(IF(AND(MAX($A$114:A328)&gt;A328+1, MAX($A$114:A328)&gt;20),0,IF(AND(D329="",G329=""),0,IF(OR(D329&gt;LimitSignB10, G329&gt;LimitSignB11),A328+1,0))),"")</f>
        <v>0</v>
      </c>
      <c r="B329" s="76" t="str">
        <f ca="1">IFERROR(MyTime(INDEX(INDIRECT("input!"&amp;$B$112&amp;":"&amp;$B$112),FirstRowInput+Integration*COUNT($B$114:B328)) )* $B$110,"")</f>
        <v/>
      </c>
      <c r="C329" s="77" t="str">
        <f ca="1">IFERROR(AVERAGE(INDEX(INDIRECT("input!" &amp; $C$112 &amp; ":" &amp; $C$112),FirstRowInput+Integration*COUNT($B$114:B328)):INDEX(INDIRECT("input!" &amp; $C$112 &amp; ":" &amp; $C$112),FirstRowInput+Integration*COUNT($B$114:B328)+Integration-1))*$C$110,"")</f>
        <v/>
      </c>
      <c r="D329" s="77" t="str">
        <f ca="1">IFERROR(AVERAGE(INDEX(INDIRECT("input!" &amp; $D$112 &amp; ":" &amp; $D$112),FirstRowInput+Integration*COUNT($B$114:B328)):INDEX(INDIRECT("input!" &amp; $D$112 &amp; ":" &amp; $D$112),FirstRowInput+Integration*COUNT($B$114:B328)+Integration-1))*$D$110,"")</f>
        <v/>
      </c>
      <c r="E329" s="77" t="str">
        <f ca="1">IFERROR(AVERAGE(INDEX(INDIRECT("input!" &amp; $E$112 &amp; ":" &amp; $E$112),FirstRowInput+Integration*COUNT($B$114:B328)):INDEX(INDIRECT("input!" &amp; $E$112 &amp; ":" &amp; $E$112),FirstRowInput+Integration*COUNT($B$114:B328)+Integration-1))*$E$110,"")</f>
        <v/>
      </c>
      <c r="F329" s="77" t="str">
        <f ca="1">IFERROR(AVERAGE(INDEX(INDIRECT("input!" &amp; $F$112 &amp; ":" &amp; $F$112),FirstRowInput+Integration*COUNT($B$114:B328)):INDEX(INDIRECT("input!" &amp; $F$112 &amp; ":" &amp; $F$112),FirstRowInput+Integration*COUNT($B$114:B328)+Integration-1))*$F$110,"")</f>
        <v/>
      </c>
      <c r="G329" s="77" t="str">
        <f ca="1">IFERROR(AVERAGE(INDEX(INDIRECT("input!" &amp; $G$112 &amp; ":" &amp; $G$112),FirstRowInput+Integration*COUNT($B$114:B328)):INDEX(INDIRECT("input!" &amp; $G$112 &amp; ":" &amp; $G$112),FirstRowInput+Integration*COUNT($B$114:B328)+Integration-1))*$G$110,"")</f>
        <v/>
      </c>
      <c r="H329" s="77" t="str">
        <f ca="1">IFERROR(AVERAGE(INDEX(INDIRECT("input!" &amp; $H$112 &amp; ":" &amp; $H$112),FirstRowInput+Integration*COUNT($B$114:B328)):INDEX(INDIRECT("input!" &amp; $H$112 &amp; ":" &amp; $H$112),FirstRowInput+Integration*COUNT($B$114:B328)+Integration-1))*$H$110,"")</f>
        <v/>
      </c>
      <c r="I329" s="42">
        <v>217</v>
      </c>
      <c r="J329"/>
      <c r="K329" s="86"/>
      <c r="L329"/>
      <c r="M329"/>
      <c r="N329"/>
      <c r="O329"/>
      <c r="P329"/>
      <c r="Q329"/>
      <c r="R329"/>
      <c r="S329" s="463"/>
      <c r="T329"/>
      <c r="U329"/>
      <c r="V329"/>
      <c r="W329"/>
      <c r="X329"/>
      <c r="Y329"/>
      <c r="Z329"/>
      <c r="AA329"/>
      <c r="AB329"/>
      <c r="AC329"/>
      <c r="AD329"/>
      <c r="AE329"/>
      <c r="AF329"/>
      <c r="AG329"/>
      <c r="AH329"/>
      <c r="AI329"/>
      <c r="AJ329"/>
      <c r="AK329"/>
      <c r="AL329"/>
      <c r="AM329"/>
      <c r="AN329"/>
    </row>
    <row r="330" spans="1:40" s="14" customFormat="1" ht="15" customHeight="1" x14ac:dyDescent="0.15">
      <c r="A330" s="75">
        <f ca="1">IFERROR(IF(AND(MAX($A$114:A329)&gt;A329+1, MAX($A$114:A329)&gt;20),0,IF(AND(D330="",G330=""),0,IF(OR(D330&gt;LimitSignB10, G330&gt;LimitSignB11),A329+1,0))),"")</f>
        <v>0</v>
      </c>
      <c r="B330" s="76" t="str">
        <f ca="1">IFERROR(MyTime(INDEX(INDIRECT("input!"&amp;$B$112&amp;":"&amp;$B$112),FirstRowInput+Integration*COUNT($B$114:B329)) )* $B$110,"")</f>
        <v/>
      </c>
      <c r="C330" s="77" t="str">
        <f ca="1">IFERROR(AVERAGE(INDEX(INDIRECT("input!" &amp; $C$112 &amp; ":" &amp; $C$112),FirstRowInput+Integration*COUNT($B$114:B329)):INDEX(INDIRECT("input!" &amp; $C$112 &amp; ":" &amp; $C$112),FirstRowInput+Integration*COUNT($B$114:B329)+Integration-1))*$C$110,"")</f>
        <v/>
      </c>
      <c r="D330" s="77" t="str">
        <f ca="1">IFERROR(AVERAGE(INDEX(INDIRECT("input!" &amp; $D$112 &amp; ":" &amp; $D$112),FirstRowInput+Integration*COUNT($B$114:B329)):INDEX(INDIRECT("input!" &amp; $D$112 &amp; ":" &amp; $D$112),FirstRowInput+Integration*COUNT($B$114:B329)+Integration-1))*$D$110,"")</f>
        <v/>
      </c>
      <c r="E330" s="77" t="str">
        <f ca="1">IFERROR(AVERAGE(INDEX(INDIRECT("input!" &amp; $E$112 &amp; ":" &amp; $E$112),FirstRowInput+Integration*COUNT($B$114:B329)):INDEX(INDIRECT("input!" &amp; $E$112 &amp; ":" &amp; $E$112),FirstRowInput+Integration*COUNT($B$114:B329)+Integration-1))*$E$110,"")</f>
        <v/>
      </c>
      <c r="F330" s="77" t="str">
        <f ca="1">IFERROR(AVERAGE(INDEX(INDIRECT("input!" &amp; $F$112 &amp; ":" &amp; $F$112),FirstRowInput+Integration*COUNT($B$114:B329)):INDEX(INDIRECT("input!" &amp; $F$112 &amp; ":" &amp; $F$112),FirstRowInput+Integration*COUNT($B$114:B329)+Integration-1))*$F$110,"")</f>
        <v/>
      </c>
      <c r="G330" s="77" t="str">
        <f ca="1">IFERROR(AVERAGE(INDEX(INDIRECT("input!" &amp; $G$112 &amp; ":" &amp; $G$112),FirstRowInput+Integration*COUNT($B$114:B329)):INDEX(INDIRECT("input!" &amp; $G$112 &amp; ":" &amp; $G$112),FirstRowInput+Integration*COUNT($B$114:B329)+Integration-1))*$G$110,"")</f>
        <v/>
      </c>
      <c r="H330" s="77" t="str">
        <f ca="1">IFERROR(AVERAGE(INDEX(INDIRECT("input!" &amp; $H$112 &amp; ":" &amp; $H$112),FirstRowInput+Integration*COUNT($B$114:B329)):INDEX(INDIRECT("input!" &amp; $H$112 &amp; ":" &amp; $H$112),FirstRowInput+Integration*COUNT($B$114:B329)+Integration-1))*$H$110,"")</f>
        <v/>
      </c>
      <c r="I330" s="42">
        <v>218</v>
      </c>
      <c r="J330"/>
      <c r="K330" s="86"/>
      <c r="L330"/>
      <c r="M330"/>
      <c r="N330"/>
      <c r="O330"/>
      <c r="P330"/>
      <c r="Q330"/>
      <c r="R330"/>
      <c r="S330" s="463"/>
      <c r="T330"/>
      <c r="U330"/>
      <c r="V330"/>
      <c r="W330"/>
      <c r="X330"/>
      <c r="Y330"/>
      <c r="Z330"/>
      <c r="AA330"/>
      <c r="AB330"/>
      <c r="AC330"/>
      <c r="AD330"/>
      <c r="AE330"/>
      <c r="AF330"/>
      <c r="AG330"/>
      <c r="AH330"/>
      <c r="AI330"/>
      <c r="AJ330"/>
      <c r="AK330"/>
      <c r="AL330"/>
      <c r="AM330"/>
      <c r="AN330"/>
    </row>
    <row r="331" spans="1:40" s="14" customFormat="1" ht="15" customHeight="1" x14ac:dyDescent="0.15">
      <c r="A331" s="75">
        <f ca="1">IFERROR(IF(AND(MAX($A$114:A330)&gt;A330+1, MAX($A$114:A330)&gt;20),0,IF(AND(D331="",G331=""),0,IF(OR(D331&gt;LimitSignB10, G331&gt;LimitSignB11),A330+1,0))),"")</f>
        <v>0</v>
      </c>
      <c r="B331" s="76" t="str">
        <f ca="1">IFERROR(MyTime(INDEX(INDIRECT("input!"&amp;$B$112&amp;":"&amp;$B$112),FirstRowInput+Integration*COUNT($B$114:B330)) )* $B$110,"")</f>
        <v/>
      </c>
      <c r="C331" s="77" t="str">
        <f ca="1">IFERROR(AVERAGE(INDEX(INDIRECT("input!" &amp; $C$112 &amp; ":" &amp; $C$112),FirstRowInput+Integration*COUNT($B$114:B330)):INDEX(INDIRECT("input!" &amp; $C$112 &amp; ":" &amp; $C$112),FirstRowInput+Integration*COUNT($B$114:B330)+Integration-1))*$C$110,"")</f>
        <v/>
      </c>
      <c r="D331" s="77" t="str">
        <f ca="1">IFERROR(AVERAGE(INDEX(INDIRECT("input!" &amp; $D$112 &amp; ":" &amp; $D$112),FirstRowInput+Integration*COUNT($B$114:B330)):INDEX(INDIRECT("input!" &amp; $D$112 &amp; ":" &amp; $D$112),FirstRowInput+Integration*COUNT($B$114:B330)+Integration-1))*$D$110,"")</f>
        <v/>
      </c>
      <c r="E331" s="77" t="str">
        <f ca="1">IFERROR(AVERAGE(INDEX(INDIRECT("input!" &amp; $E$112 &amp; ":" &amp; $E$112),FirstRowInput+Integration*COUNT($B$114:B330)):INDEX(INDIRECT("input!" &amp; $E$112 &amp; ":" &amp; $E$112),FirstRowInput+Integration*COUNT($B$114:B330)+Integration-1))*$E$110,"")</f>
        <v/>
      </c>
      <c r="F331" s="77" t="str">
        <f ca="1">IFERROR(AVERAGE(INDEX(INDIRECT("input!" &amp; $F$112 &amp; ":" &amp; $F$112),FirstRowInput+Integration*COUNT($B$114:B330)):INDEX(INDIRECT("input!" &amp; $F$112 &amp; ":" &amp; $F$112),FirstRowInput+Integration*COUNT($B$114:B330)+Integration-1))*$F$110,"")</f>
        <v/>
      </c>
      <c r="G331" s="77" t="str">
        <f ca="1">IFERROR(AVERAGE(INDEX(INDIRECT("input!" &amp; $G$112 &amp; ":" &amp; $G$112),FirstRowInput+Integration*COUNT($B$114:B330)):INDEX(INDIRECT("input!" &amp; $G$112 &amp; ":" &amp; $G$112),FirstRowInput+Integration*COUNT($B$114:B330)+Integration-1))*$G$110,"")</f>
        <v/>
      </c>
      <c r="H331" s="77" t="str">
        <f ca="1">IFERROR(AVERAGE(INDEX(INDIRECT("input!" &amp; $H$112 &amp; ":" &amp; $H$112),FirstRowInput+Integration*COUNT($B$114:B330)):INDEX(INDIRECT("input!" &amp; $H$112 &amp; ":" &amp; $H$112),FirstRowInput+Integration*COUNT($B$114:B330)+Integration-1))*$H$110,"")</f>
        <v/>
      </c>
      <c r="I331" s="42">
        <v>219</v>
      </c>
      <c r="J331"/>
      <c r="K331" s="86"/>
      <c r="L331"/>
      <c r="M331"/>
      <c r="N331"/>
      <c r="O331"/>
      <c r="P331"/>
      <c r="Q331"/>
      <c r="R331"/>
      <c r="S331" s="463"/>
      <c r="T331"/>
      <c r="U331"/>
      <c r="V331"/>
      <c r="W331"/>
      <c r="X331"/>
      <c r="Y331"/>
      <c r="Z331"/>
      <c r="AA331"/>
      <c r="AB331"/>
      <c r="AC331"/>
      <c r="AD331"/>
      <c r="AE331"/>
      <c r="AF331"/>
      <c r="AG331"/>
      <c r="AH331"/>
      <c r="AI331"/>
      <c r="AJ331"/>
      <c r="AK331"/>
      <c r="AL331"/>
      <c r="AM331"/>
      <c r="AN331"/>
    </row>
    <row r="332" spans="1:40" s="14" customFormat="1" ht="15" customHeight="1" x14ac:dyDescent="0.15">
      <c r="A332" s="75">
        <f ca="1">IFERROR(IF(AND(MAX($A$114:A331)&gt;A331+1, MAX($A$114:A331)&gt;20),0,IF(AND(D332="",G332=""),0,IF(OR(D332&gt;LimitSignB10, G332&gt;LimitSignB11),A331+1,0))),"")</f>
        <v>0</v>
      </c>
      <c r="B332" s="76" t="str">
        <f ca="1">IFERROR(MyTime(INDEX(INDIRECT("input!"&amp;$B$112&amp;":"&amp;$B$112),FirstRowInput+Integration*COUNT($B$114:B331)) )* $B$110,"")</f>
        <v/>
      </c>
      <c r="C332" s="77" t="str">
        <f ca="1">IFERROR(AVERAGE(INDEX(INDIRECT("input!" &amp; $C$112 &amp; ":" &amp; $C$112),FirstRowInput+Integration*COUNT($B$114:B331)):INDEX(INDIRECT("input!" &amp; $C$112 &amp; ":" &amp; $C$112),FirstRowInput+Integration*COUNT($B$114:B331)+Integration-1))*$C$110,"")</f>
        <v/>
      </c>
      <c r="D332" s="77" t="str">
        <f ca="1">IFERROR(AVERAGE(INDEX(INDIRECT("input!" &amp; $D$112 &amp; ":" &amp; $D$112),FirstRowInput+Integration*COUNT($B$114:B331)):INDEX(INDIRECT("input!" &amp; $D$112 &amp; ":" &amp; $D$112),FirstRowInput+Integration*COUNT($B$114:B331)+Integration-1))*$D$110,"")</f>
        <v/>
      </c>
      <c r="E332" s="77" t="str">
        <f ca="1">IFERROR(AVERAGE(INDEX(INDIRECT("input!" &amp; $E$112 &amp; ":" &amp; $E$112),FirstRowInput+Integration*COUNT($B$114:B331)):INDEX(INDIRECT("input!" &amp; $E$112 &amp; ":" &amp; $E$112),FirstRowInput+Integration*COUNT($B$114:B331)+Integration-1))*$E$110,"")</f>
        <v/>
      </c>
      <c r="F332" s="77" t="str">
        <f ca="1">IFERROR(AVERAGE(INDEX(INDIRECT("input!" &amp; $F$112 &amp; ":" &amp; $F$112),FirstRowInput+Integration*COUNT($B$114:B331)):INDEX(INDIRECT("input!" &amp; $F$112 &amp; ":" &amp; $F$112),FirstRowInput+Integration*COUNT($B$114:B331)+Integration-1))*$F$110,"")</f>
        <v/>
      </c>
      <c r="G332" s="77" t="str">
        <f ca="1">IFERROR(AVERAGE(INDEX(INDIRECT("input!" &amp; $G$112 &amp; ":" &amp; $G$112),FirstRowInput+Integration*COUNT($B$114:B331)):INDEX(INDIRECT("input!" &amp; $G$112 &amp; ":" &amp; $G$112),FirstRowInput+Integration*COUNT($B$114:B331)+Integration-1))*$G$110,"")</f>
        <v/>
      </c>
      <c r="H332" s="77" t="str">
        <f ca="1">IFERROR(AVERAGE(INDEX(INDIRECT("input!" &amp; $H$112 &amp; ":" &amp; $H$112),FirstRowInput+Integration*COUNT($B$114:B331)):INDEX(INDIRECT("input!" &amp; $H$112 &amp; ":" &amp; $H$112),FirstRowInput+Integration*COUNT($B$114:B331)+Integration-1))*$H$110,"")</f>
        <v/>
      </c>
      <c r="I332" s="42">
        <v>220</v>
      </c>
      <c r="J332"/>
      <c r="K332" s="86"/>
      <c r="L332"/>
      <c r="M332"/>
      <c r="N332"/>
      <c r="O332"/>
      <c r="P332"/>
      <c r="Q332"/>
      <c r="R332"/>
      <c r="S332" s="463"/>
      <c r="T332"/>
      <c r="U332"/>
      <c r="V332"/>
      <c r="W332"/>
      <c r="X332"/>
      <c r="Y332"/>
      <c r="Z332"/>
      <c r="AA332"/>
      <c r="AB332"/>
      <c r="AC332"/>
      <c r="AD332"/>
      <c r="AE332"/>
      <c r="AF332"/>
      <c r="AG332"/>
      <c r="AH332"/>
      <c r="AI332"/>
      <c r="AJ332"/>
      <c r="AK332"/>
      <c r="AL332"/>
      <c r="AM332"/>
      <c r="AN332"/>
    </row>
    <row r="333" spans="1:40" s="14" customFormat="1" ht="15" customHeight="1" x14ac:dyDescent="0.15">
      <c r="A333" s="75">
        <f ca="1">IFERROR(IF(AND(MAX($A$114:A332)&gt;A332+1, MAX($A$114:A332)&gt;20),0,IF(AND(D333="",G333=""),0,IF(OR(D333&gt;LimitSignB10, G333&gt;LimitSignB11),A332+1,0))),"")</f>
        <v>0</v>
      </c>
      <c r="B333" s="76" t="str">
        <f ca="1">IFERROR(MyTime(INDEX(INDIRECT("input!"&amp;$B$112&amp;":"&amp;$B$112),FirstRowInput+Integration*COUNT($B$114:B332)) )* $B$110,"")</f>
        <v/>
      </c>
      <c r="C333" s="77" t="str">
        <f ca="1">IFERROR(AVERAGE(INDEX(INDIRECT("input!" &amp; $C$112 &amp; ":" &amp; $C$112),FirstRowInput+Integration*COUNT($B$114:B332)):INDEX(INDIRECT("input!" &amp; $C$112 &amp; ":" &amp; $C$112),FirstRowInput+Integration*COUNT($B$114:B332)+Integration-1))*$C$110,"")</f>
        <v/>
      </c>
      <c r="D333" s="77" t="str">
        <f ca="1">IFERROR(AVERAGE(INDEX(INDIRECT("input!" &amp; $D$112 &amp; ":" &amp; $D$112),FirstRowInput+Integration*COUNT($B$114:B332)):INDEX(INDIRECT("input!" &amp; $D$112 &amp; ":" &amp; $D$112),FirstRowInput+Integration*COUNT($B$114:B332)+Integration-1))*$D$110,"")</f>
        <v/>
      </c>
      <c r="E333" s="77" t="str">
        <f ca="1">IFERROR(AVERAGE(INDEX(INDIRECT("input!" &amp; $E$112 &amp; ":" &amp; $E$112),FirstRowInput+Integration*COUNT($B$114:B332)):INDEX(INDIRECT("input!" &amp; $E$112 &amp; ":" &amp; $E$112),FirstRowInput+Integration*COUNT($B$114:B332)+Integration-1))*$E$110,"")</f>
        <v/>
      </c>
      <c r="F333" s="77" t="str">
        <f ca="1">IFERROR(AVERAGE(INDEX(INDIRECT("input!" &amp; $F$112 &amp; ":" &amp; $F$112),FirstRowInput+Integration*COUNT($B$114:B332)):INDEX(INDIRECT("input!" &amp; $F$112 &amp; ":" &amp; $F$112),FirstRowInput+Integration*COUNT($B$114:B332)+Integration-1))*$F$110,"")</f>
        <v/>
      </c>
      <c r="G333" s="77" t="str">
        <f ca="1">IFERROR(AVERAGE(INDEX(INDIRECT("input!" &amp; $G$112 &amp; ":" &amp; $G$112),FirstRowInput+Integration*COUNT($B$114:B332)):INDEX(INDIRECT("input!" &amp; $G$112 &amp; ":" &amp; $G$112),FirstRowInput+Integration*COUNT($B$114:B332)+Integration-1))*$G$110,"")</f>
        <v/>
      </c>
      <c r="H333" s="77" t="str">
        <f ca="1">IFERROR(AVERAGE(INDEX(INDIRECT("input!" &amp; $H$112 &amp; ":" &amp; $H$112),FirstRowInput+Integration*COUNT($B$114:B332)):INDEX(INDIRECT("input!" &amp; $H$112 &amp; ":" &amp; $H$112),FirstRowInput+Integration*COUNT($B$114:B332)+Integration-1))*$H$110,"")</f>
        <v/>
      </c>
      <c r="I333" s="42">
        <v>221</v>
      </c>
      <c r="J333"/>
      <c r="K333" s="86"/>
      <c r="L333"/>
      <c r="M333"/>
      <c r="N333"/>
      <c r="O333"/>
      <c r="P333"/>
      <c r="Q333"/>
      <c r="R333"/>
      <c r="S333" s="463"/>
      <c r="T333"/>
      <c r="U333"/>
      <c r="V333"/>
      <c r="W333"/>
      <c r="X333"/>
      <c r="Y333"/>
      <c r="Z333"/>
      <c r="AA333"/>
      <c r="AB333"/>
      <c r="AC333"/>
      <c r="AD333"/>
      <c r="AE333"/>
      <c r="AF333"/>
      <c r="AG333"/>
      <c r="AH333"/>
      <c r="AI333"/>
      <c r="AJ333"/>
      <c r="AK333"/>
      <c r="AL333"/>
      <c r="AM333"/>
      <c r="AN333"/>
    </row>
    <row r="334" spans="1:40" s="14" customFormat="1" ht="15" customHeight="1" x14ac:dyDescent="0.15">
      <c r="A334" s="75">
        <f ca="1">IFERROR(IF(AND(MAX($A$114:A333)&gt;A333+1, MAX($A$114:A333)&gt;20),0,IF(AND(D334="",G334=""),0,IF(OR(D334&gt;LimitSignB10, G334&gt;LimitSignB11),A333+1,0))),"")</f>
        <v>0</v>
      </c>
      <c r="B334" s="76" t="str">
        <f ca="1">IFERROR(MyTime(INDEX(INDIRECT("input!"&amp;$B$112&amp;":"&amp;$B$112),FirstRowInput+Integration*COUNT($B$114:B333)) )* $B$110,"")</f>
        <v/>
      </c>
      <c r="C334" s="77" t="str">
        <f ca="1">IFERROR(AVERAGE(INDEX(INDIRECT("input!" &amp; $C$112 &amp; ":" &amp; $C$112),FirstRowInput+Integration*COUNT($B$114:B333)):INDEX(INDIRECT("input!" &amp; $C$112 &amp; ":" &amp; $C$112),FirstRowInput+Integration*COUNT($B$114:B333)+Integration-1))*$C$110,"")</f>
        <v/>
      </c>
      <c r="D334" s="77" t="str">
        <f ca="1">IFERROR(AVERAGE(INDEX(INDIRECT("input!" &amp; $D$112 &amp; ":" &amp; $D$112),FirstRowInput+Integration*COUNT($B$114:B333)):INDEX(INDIRECT("input!" &amp; $D$112 &amp; ":" &amp; $D$112),FirstRowInput+Integration*COUNT($B$114:B333)+Integration-1))*$D$110,"")</f>
        <v/>
      </c>
      <c r="E334" s="77" t="str">
        <f ca="1">IFERROR(AVERAGE(INDEX(INDIRECT("input!" &amp; $E$112 &amp; ":" &amp; $E$112),FirstRowInput+Integration*COUNT($B$114:B333)):INDEX(INDIRECT("input!" &amp; $E$112 &amp; ":" &amp; $E$112),FirstRowInput+Integration*COUNT($B$114:B333)+Integration-1))*$E$110,"")</f>
        <v/>
      </c>
      <c r="F334" s="77" t="str">
        <f ca="1">IFERROR(AVERAGE(INDEX(INDIRECT("input!" &amp; $F$112 &amp; ":" &amp; $F$112),FirstRowInput+Integration*COUNT($B$114:B333)):INDEX(INDIRECT("input!" &amp; $F$112 &amp; ":" &amp; $F$112),FirstRowInput+Integration*COUNT($B$114:B333)+Integration-1))*$F$110,"")</f>
        <v/>
      </c>
      <c r="G334" s="77" t="str">
        <f ca="1">IFERROR(AVERAGE(INDEX(INDIRECT("input!" &amp; $G$112 &amp; ":" &amp; $G$112),FirstRowInput+Integration*COUNT($B$114:B333)):INDEX(INDIRECT("input!" &amp; $G$112 &amp; ":" &amp; $G$112),FirstRowInput+Integration*COUNT($B$114:B333)+Integration-1))*$G$110,"")</f>
        <v/>
      </c>
      <c r="H334" s="77" t="str">
        <f ca="1">IFERROR(AVERAGE(INDEX(INDIRECT("input!" &amp; $H$112 &amp; ":" &amp; $H$112),FirstRowInput+Integration*COUNT($B$114:B333)):INDEX(INDIRECT("input!" &amp; $H$112 &amp; ":" &amp; $H$112),FirstRowInput+Integration*COUNT($B$114:B333)+Integration-1))*$H$110,"")</f>
        <v/>
      </c>
      <c r="I334" s="42">
        <v>222</v>
      </c>
      <c r="J334"/>
      <c r="K334" s="86"/>
      <c r="L334"/>
      <c r="M334"/>
      <c r="N334"/>
      <c r="O334"/>
      <c r="P334"/>
      <c r="Q334"/>
      <c r="R334"/>
      <c r="S334" s="463"/>
      <c r="T334"/>
      <c r="U334"/>
      <c r="V334"/>
      <c r="W334"/>
      <c r="X334"/>
      <c r="Y334"/>
      <c r="Z334"/>
      <c r="AA334"/>
      <c r="AB334"/>
      <c r="AC334"/>
      <c r="AD334"/>
      <c r="AE334"/>
      <c r="AF334"/>
      <c r="AG334"/>
      <c r="AH334"/>
      <c r="AI334"/>
      <c r="AJ334"/>
      <c r="AK334"/>
      <c r="AL334"/>
      <c r="AM334"/>
      <c r="AN334"/>
    </row>
    <row r="335" spans="1:40" s="14" customFormat="1" ht="15" customHeight="1" x14ac:dyDescent="0.15">
      <c r="A335" s="75">
        <f ca="1">IFERROR(IF(AND(MAX($A$114:A334)&gt;A334+1, MAX($A$114:A334)&gt;20),0,IF(AND(D335="",G335=""),0,IF(OR(D335&gt;LimitSignB10, G335&gt;LimitSignB11),A334+1,0))),"")</f>
        <v>0</v>
      </c>
      <c r="B335" s="76" t="str">
        <f ca="1">IFERROR(MyTime(INDEX(INDIRECT("input!"&amp;$B$112&amp;":"&amp;$B$112),FirstRowInput+Integration*COUNT($B$114:B334)) )* $B$110,"")</f>
        <v/>
      </c>
      <c r="C335" s="77" t="str">
        <f ca="1">IFERROR(AVERAGE(INDEX(INDIRECT("input!" &amp; $C$112 &amp; ":" &amp; $C$112),FirstRowInput+Integration*COUNT($B$114:B334)):INDEX(INDIRECT("input!" &amp; $C$112 &amp; ":" &amp; $C$112),FirstRowInput+Integration*COUNT($B$114:B334)+Integration-1))*$C$110,"")</f>
        <v/>
      </c>
      <c r="D335" s="77" t="str">
        <f ca="1">IFERROR(AVERAGE(INDEX(INDIRECT("input!" &amp; $D$112 &amp; ":" &amp; $D$112),FirstRowInput+Integration*COUNT($B$114:B334)):INDEX(INDIRECT("input!" &amp; $D$112 &amp; ":" &amp; $D$112),FirstRowInput+Integration*COUNT($B$114:B334)+Integration-1))*$D$110,"")</f>
        <v/>
      </c>
      <c r="E335" s="77" t="str">
        <f ca="1">IFERROR(AVERAGE(INDEX(INDIRECT("input!" &amp; $E$112 &amp; ":" &amp; $E$112),FirstRowInput+Integration*COUNT($B$114:B334)):INDEX(INDIRECT("input!" &amp; $E$112 &amp; ":" &amp; $E$112),FirstRowInput+Integration*COUNT($B$114:B334)+Integration-1))*$E$110,"")</f>
        <v/>
      </c>
      <c r="F335" s="77" t="str">
        <f ca="1">IFERROR(AVERAGE(INDEX(INDIRECT("input!" &amp; $F$112 &amp; ":" &amp; $F$112),FirstRowInput+Integration*COUNT($B$114:B334)):INDEX(INDIRECT("input!" &amp; $F$112 &amp; ":" &amp; $F$112),FirstRowInput+Integration*COUNT($B$114:B334)+Integration-1))*$F$110,"")</f>
        <v/>
      </c>
      <c r="G335" s="77" t="str">
        <f ca="1">IFERROR(AVERAGE(INDEX(INDIRECT("input!" &amp; $G$112 &amp; ":" &amp; $G$112),FirstRowInput+Integration*COUNT($B$114:B334)):INDEX(INDIRECT("input!" &amp; $G$112 &amp; ":" &amp; $G$112),FirstRowInput+Integration*COUNT($B$114:B334)+Integration-1))*$G$110,"")</f>
        <v/>
      </c>
      <c r="H335" s="77" t="str">
        <f ca="1">IFERROR(AVERAGE(INDEX(INDIRECT("input!" &amp; $H$112 &amp; ":" &amp; $H$112),FirstRowInput+Integration*COUNT($B$114:B334)):INDEX(INDIRECT("input!" &amp; $H$112 &amp; ":" &amp; $H$112),FirstRowInput+Integration*COUNT($B$114:B334)+Integration-1))*$H$110,"")</f>
        <v/>
      </c>
      <c r="I335" s="42">
        <v>223</v>
      </c>
      <c r="J335"/>
      <c r="K335" s="86"/>
      <c r="L335"/>
      <c r="M335"/>
      <c r="N335"/>
      <c r="O335"/>
      <c r="P335"/>
      <c r="Q335"/>
      <c r="R335"/>
      <c r="S335" s="463"/>
      <c r="T335"/>
      <c r="U335"/>
      <c r="V335"/>
      <c r="W335"/>
      <c r="X335"/>
      <c r="Y335"/>
      <c r="Z335"/>
      <c r="AA335"/>
      <c r="AB335"/>
      <c r="AC335"/>
      <c r="AD335"/>
      <c r="AE335"/>
      <c r="AF335"/>
      <c r="AG335"/>
      <c r="AH335"/>
      <c r="AI335"/>
      <c r="AJ335"/>
      <c r="AK335"/>
      <c r="AL335"/>
      <c r="AM335"/>
      <c r="AN335"/>
    </row>
    <row r="336" spans="1:40" s="14" customFormat="1" ht="15" customHeight="1" x14ac:dyDescent="0.15">
      <c r="A336" s="75">
        <f ca="1">IFERROR(IF(AND(MAX($A$114:A335)&gt;A335+1, MAX($A$114:A335)&gt;20),0,IF(AND(D336="",G336=""),0,IF(OR(D336&gt;LimitSignB10, G336&gt;LimitSignB11),A335+1,0))),"")</f>
        <v>0</v>
      </c>
      <c r="B336" s="76" t="str">
        <f ca="1">IFERROR(MyTime(INDEX(INDIRECT("input!"&amp;$B$112&amp;":"&amp;$B$112),FirstRowInput+Integration*COUNT($B$114:B335)) )* $B$110,"")</f>
        <v/>
      </c>
      <c r="C336" s="77" t="str">
        <f ca="1">IFERROR(AVERAGE(INDEX(INDIRECT("input!" &amp; $C$112 &amp; ":" &amp; $C$112),FirstRowInput+Integration*COUNT($B$114:B335)):INDEX(INDIRECT("input!" &amp; $C$112 &amp; ":" &amp; $C$112),FirstRowInput+Integration*COUNT($B$114:B335)+Integration-1))*$C$110,"")</f>
        <v/>
      </c>
      <c r="D336" s="77" t="str">
        <f ca="1">IFERROR(AVERAGE(INDEX(INDIRECT("input!" &amp; $D$112 &amp; ":" &amp; $D$112),FirstRowInput+Integration*COUNT($B$114:B335)):INDEX(INDIRECT("input!" &amp; $D$112 &amp; ":" &amp; $D$112),FirstRowInput+Integration*COUNT($B$114:B335)+Integration-1))*$D$110,"")</f>
        <v/>
      </c>
      <c r="E336" s="77" t="str">
        <f ca="1">IFERROR(AVERAGE(INDEX(INDIRECT("input!" &amp; $E$112 &amp; ":" &amp; $E$112),FirstRowInput+Integration*COUNT($B$114:B335)):INDEX(INDIRECT("input!" &amp; $E$112 &amp; ":" &amp; $E$112),FirstRowInput+Integration*COUNT($B$114:B335)+Integration-1))*$E$110,"")</f>
        <v/>
      </c>
      <c r="F336" s="77" t="str">
        <f ca="1">IFERROR(AVERAGE(INDEX(INDIRECT("input!" &amp; $F$112 &amp; ":" &amp; $F$112),FirstRowInput+Integration*COUNT($B$114:B335)):INDEX(INDIRECT("input!" &amp; $F$112 &amp; ":" &amp; $F$112),FirstRowInput+Integration*COUNT($B$114:B335)+Integration-1))*$F$110,"")</f>
        <v/>
      </c>
      <c r="G336" s="77" t="str">
        <f ca="1">IFERROR(AVERAGE(INDEX(INDIRECT("input!" &amp; $G$112 &amp; ":" &amp; $G$112),FirstRowInput+Integration*COUNT($B$114:B335)):INDEX(INDIRECT("input!" &amp; $G$112 &amp; ":" &amp; $G$112),FirstRowInput+Integration*COUNT($B$114:B335)+Integration-1))*$G$110,"")</f>
        <v/>
      </c>
      <c r="H336" s="77" t="str">
        <f ca="1">IFERROR(AVERAGE(INDEX(INDIRECT("input!" &amp; $H$112 &amp; ":" &amp; $H$112),FirstRowInput+Integration*COUNT($B$114:B335)):INDEX(INDIRECT("input!" &amp; $H$112 &amp; ":" &amp; $H$112),FirstRowInput+Integration*COUNT($B$114:B335)+Integration-1))*$H$110,"")</f>
        <v/>
      </c>
      <c r="I336" s="42">
        <v>224</v>
      </c>
      <c r="J336"/>
      <c r="K336" s="86"/>
      <c r="L336"/>
      <c r="M336"/>
      <c r="N336"/>
      <c r="O336"/>
      <c r="P336"/>
      <c r="Q336"/>
      <c r="R336"/>
      <c r="S336" s="463"/>
      <c r="T336"/>
      <c r="U336"/>
      <c r="V336"/>
      <c r="W336"/>
      <c r="X336"/>
      <c r="Y336"/>
      <c r="Z336"/>
      <c r="AA336"/>
      <c r="AB336"/>
      <c r="AC336"/>
      <c r="AD336"/>
      <c r="AE336"/>
      <c r="AF336"/>
      <c r="AG336"/>
      <c r="AH336"/>
      <c r="AI336"/>
      <c r="AJ336"/>
      <c r="AK336"/>
      <c r="AL336"/>
      <c r="AM336"/>
      <c r="AN336"/>
    </row>
    <row r="337" spans="1:40" s="14" customFormat="1" ht="15" customHeight="1" x14ac:dyDescent="0.15">
      <c r="A337" s="75">
        <f ca="1">IFERROR(IF(AND(MAX($A$114:A336)&gt;A336+1, MAX($A$114:A336)&gt;20),0,IF(AND(D337="",G337=""),0,IF(OR(D337&gt;LimitSignB10, G337&gt;LimitSignB11),A336+1,0))),"")</f>
        <v>0</v>
      </c>
      <c r="B337" s="76" t="str">
        <f ca="1">IFERROR(MyTime(INDEX(INDIRECT("input!"&amp;$B$112&amp;":"&amp;$B$112),FirstRowInput+Integration*COUNT($B$114:B336)) )* $B$110,"")</f>
        <v/>
      </c>
      <c r="C337" s="77" t="str">
        <f ca="1">IFERROR(AVERAGE(INDEX(INDIRECT("input!" &amp; $C$112 &amp; ":" &amp; $C$112),FirstRowInput+Integration*COUNT($B$114:B336)):INDEX(INDIRECT("input!" &amp; $C$112 &amp; ":" &amp; $C$112),FirstRowInput+Integration*COUNT($B$114:B336)+Integration-1))*$C$110,"")</f>
        <v/>
      </c>
      <c r="D337" s="77" t="str">
        <f ca="1">IFERROR(AVERAGE(INDEX(INDIRECT("input!" &amp; $D$112 &amp; ":" &amp; $D$112),FirstRowInput+Integration*COUNT($B$114:B336)):INDEX(INDIRECT("input!" &amp; $D$112 &amp; ":" &amp; $D$112),FirstRowInput+Integration*COUNT($B$114:B336)+Integration-1))*$D$110,"")</f>
        <v/>
      </c>
      <c r="E337" s="77" t="str">
        <f ca="1">IFERROR(AVERAGE(INDEX(INDIRECT("input!" &amp; $E$112 &amp; ":" &amp; $E$112),FirstRowInput+Integration*COUNT($B$114:B336)):INDEX(INDIRECT("input!" &amp; $E$112 &amp; ":" &amp; $E$112),FirstRowInput+Integration*COUNT($B$114:B336)+Integration-1))*$E$110,"")</f>
        <v/>
      </c>
      <c r="F337" s="77" t="str">
        <f ca="1">IFERROR(AVERAGE(INDEX(INDIRECT("input!" &amp; $F$112 &amp; ":" &amp; $F$112),FirstRowInput+Integration*COUNT($B$114:B336)):INDEX(INDIRECT("input!" &amp; $F$112 &amp; ":" &amp; $F$112),FirstRowInput+Integration*COUNT($B$114:B336)+Integration-1))*$F$110,"")</f>
        <v/>
      </c>
      <c r="G337" s="77" t="str">
        <f ca="1">IFERROR(AVERAGE(INDEX(INDIRECT("input!" &amp; $G$112 &amp; ":" &amp; $G$112),FirstRowInput+Integration*COUNT($B$114:B336)):INDEX(INDIRECT("input!" &amp; $G$112 &amp; ":" &amp; $G$112),FirstRowInput+Integration*COUNT($B$114:B336)+Integration-1))*$G$110,"")</f>
        <v/>
      </c>
      <c r="H337" s="77" t="str">
        <f ca="1">IFERROR(AVERAGE(INDEX(INDIRECT("input!" &amp; $H$112 &amp; ":" &amp; $H$112),FirstRowInput+Integration*COUNT($B$114:B336)):INDEX(INDIRECT("input!" &amp; $H$112 &amp; ":" &amp; $H$112),FirstRowInput+Integration*COUNT($B$114:B336)+Integration-1))*$H$110,"")</f>
        <v/>
      </c>
      <c r="I337" s="42">
        <v>225</v>
      </c>
      <c r="J337"/>
      <c r="K337" s="86"/>
      <c r="L337"/>
      <c r="M337"/>
      <c r="N337"/>
      <c r="O337"/>
      <c r="P337"/>
      <c r="Q337"/>
      <c r="R337"/>
      <c r="S337" s="463"/>
      <c r="T337"/>
      <c r="U337"/>
      <c r="V337"/>
      <c r="W337"/>
      <c r="X337"/>
      <c r="Y337"/>
      <c r="Z337"/>
      <c r="AA337"/>
      <c r="AB337"/>
      <c r="AC337"/>
      <c r="AD337"/>
      <c r="AE337"/>
      <c r="AF337"/>
      <c r="AG337"/>
      <c r="AH337"/>
      <c r="AI337"/>
      <c r="AJ337"/>
      <c r="AK337"/>
      <c r="AL337"/>
      <c r="AM337"/>
      <c r="AN337"/>
    </row>
    <row r="338" spans="1:40" s="14" customFormat="1" ht="15" customHeight="1" x14ac:dyDescent="0.15">
      <c r="A338" s="75">
        <f ca="1">IFERROR(IF(AND(MAX($A$114:A337)&gt;A337+1, MAX($A$114:A337)&gt;20),0,IF(AND(D338="",G338=""),0,IF(OR(D338&gt;LimitSignB10, G338&gt;LimitSignB11),A337+1,0))),"")</f>
        <v>0</v>
      </c>
      <c r="B338" s="76" t="str">
        <f ca="1">IFERROR(MyTime(INDEX(INDIRECT("input!"&amp;$B$112&amp;":"&amp;$B$112),FirstRowInput+Integration*COUNT($B$114:B337)) )* $B$110,"")</f>
        <v/>
      </c>
      <c r="C338" s="77" t="str">
        <f ca="1">IFERROR(AVERAGE(INDEX(INDIRECT("input!" &amp; $C$112 &amp; ":" &amp; $C$112),FirstRowInput+Integration*COUNT($B$114:B337)):INDEX(INDIRECT("input!" &amp; $C$112 &amp; ":" &amp; $C$112),FirstRowInput+Integration*COUNT($B$114:B337)+Integration-1))*$C$110,"")</f>
        <v/>
      </c>
      <c r="D338" s="77" t="str">
        <f ca="1">IFERROR(AVERAGE(INDEX(INDIRECT("input!" &amp; $D$112 &amp; ":" &amp; $D$112),FirstRowInput+Integration*COUNT($B$114:B337)):INDEX(INDIRECT("input!" &amp; $D$112 &amp; ":" &amp; $D$112),FirstRowInput+Integration*COUNT($B$114:B337)+Integration-1))*$D$110,"")</f>
        <v/>
      </c>
      <c r="E338" s="77" t="str">
        <f ca="1">IFERROR(AVERAGE(INDEX(INDIRECT("input!" &amp; $E$112 &amp; ":" &amp; $E$112),FirstRowInput+Integration*COUNT($B$114:B337)):INDEX(INDIRECT("input!" &amp; $E$112 &amp; ":" &amp; $E$112),FirstRowInput+Integration*COUNT($B$114:B337)+Integration-1))*$E$110,"")</f>
        <v/>
      </c>
      <c r="F338" s="77" t="str">
        <f ca="1">IFERROR(AVERAGE(INDEX(INDIRECT("input!" &amp; $F$112 &amp; ":" &amp; $F$112),FirstRowInput+Integration*COUNT($B$114:B337)):INDEX(INDIRECT("input!" &amp; $F$112 &amp; ":" &amp; $F$112),FirstRowInput+Integration*COUNT($B$114:B337)+Integration-1))*$F$110,"")</f>
        <v/>
      </c>
      <c r="G338" s="77" t="str">
        <f ca="1">IFERROR(AVERAGE(INDEX(INDIRECT("input!" &amp; $G$112 &amp; ":" &amp; $G$112),FirstRowInput+Integration*COUNT($B$114:B337)):INDEX(INDIRECT("input!" &amp; $G$112 &amp; ":" &amp; $G$112),FirstRowInput+Integration*COUNT($B$114:B337)+Integration-1))*$G$110,"")</f>
        <v/>
      </c>
      <c r="H338" s="77" t="str">
        <f ca="1">IFERROR(AVERAGE(INDEX(INDIRECT("input!" &amp; $H$112 &amp; ":" &amp; $H$112),FirstRowInput+Integration*COUNT($B$114:B337)):INDEX(INDIRECT("input!" &amp; $H$112 &amp; ":" &amp; $H$112),FirstRowInput+Integration*COUNT($B$114:B337)+Integration-1))*$H$110,"")</f>
        <v/>
      </c>
      <c r="I338" s="42">
        <v>226</v>
      </c>
      <c r="J338"/>
      <c r="K338" s="86"/>
      <c r="L338"/>
      <c r="M338"/>
      <c r="N338"/>
      <c r="O338"/>
      <c r="P338"/>
      <c r="Q338"/>
      <c r="R338"/>
      <c r="S338" s="463"/>
      <c r="T338"/>
      <c r="U338"/>
      <c r="V338"/>
      <c r="W338"/>
      <c r="X338"/>
      <c r="Y338"/>
      <c r="Z338"/>
      <c r="AA338"/>
      <c r="AB338"/>
      <c r="AC338"/>
      <c r="AD338"/>
      <c r="AE338"/>
      <c r="AF338"/>
      <c r="AG338"/>
      <c r="AH338"/>
      <c r="AI338"/>
      <c r="AJ338"/>
      <c r="AK338"/>
      <c r="AL338"/>
      <c r="AM338"/>
      <c r="AN338"/>
    </row>
    <row r="339" spans="1:40" s="14" customFormat="1" ht="15" customHeight="1" x14ac:dyDescent="0.15">
      <c r="A339" s="75">
        <f ca="1">IFERROR(IF(AND(MAX($A$114:A338)&gt;A338+1, MAX($A$114:A338)&gt;20),0,IF(AND(D339="",G339=""),0,IF(OR(D339&gt;LimitSignB10, G339&gt;LimitSignB11),A338+1,0))),"")</f>
        <v>0</v>
      </c>
      <c r="B339" s="76" t="str">
        <f ca="1">IFERROR(MyTime(INDEX(INDIRECT("input!"&amp;$B$112&amp;":"&amp;$B$112),FirstRowInput+Integration*COUNT($B$114:B338)) )* $B$110,"")</f>
        <v/>
      </c>
      <c r="C339" s="77" t="str">
        <f ca="1">IFERROR(AVERAGE(INDEX(INDIRECT("input!" &amp; $C$112 &amp; ":" &amp; $C$112),FirstRowInput+Integration*COUNT($B$114:B338)):INDEX(INDIRECT("input!" &amp; $C$112 &amp; ":" &amp; $C$112),FirstRowInput+Integration*COUNT($B$114:B338)+Integration-1))*$C$110,"")</f>
        <v/>
      </c>
      <c r="D339" s="77" t="str">
        <f ca="1">IFERROR(AVERAGE(INDEX(INDIRECT("input!" &amp; $D$112 &amp; ":" &amp; $D$112),FirstRowInput+Integration*COUNT($B$114:B338)):INDEX(INDIRECT("input!" &amp; $D$112 &amp; ":" &amp; $D$112),FirstRowInput+Integration*COUNT($B$114:B338)+Integration-1))*$D$110,"")</f>
        <v/>
      </c>
      <c r="E339" s="77" t="str">
        <f ca="1">IFERROR(AVERAGE(INDEX(INDIRECT("input!" &amp; $E$112 &amp; ":" &amp; $E$112),FirstRowInput+Integration*COUNT($B$114:B338)):INDEX(INDIRECT("input!" &amp; $E$112 &amp; ":" &amp; $E$112),FirstRowInput+Integration*COUNT($B$114:B338)+Integration-1))*$E$110,"")</f>
        <v/>
      </c>
      <c r="F339" s="77" t="str">
        <f ca="1">IFERROR(AVERAGE(INDEX(INDIRECT("input!" &amp; $F$112 &amp; ":" &amp; $F$112),FirstRowInput+Integration*COUNT($B$114:B338)):INDEX(INDIRECT("input!" &amp; $F$112 &amp; ":" &amp; $F$112),FirstRowInput+Integration*COUNT($B$114:B338)+Integration-1))*$F$110,"")</f>
        <v/>
      </c>
      <c r="G339" s="77" t="str">
        <f ca="1">IFERROR(AVERAGE(INDEX(INDIRECT("input!" &amp; $G$112 &amp; ":" &amp; $G$112),FirstRowInput+Integration*COUNT($B$114:B338)):INDEX(INDIRECT("input!" &amp; $G$112 &amp; ":" &amp; $G$112),FirstRowInput+Integration*COUNT($B$114:B338)+Integration-1))*$G$110,"")</f>
        <v/>
      </c>
      <c r="H339" s="77" t="str">
        <f ca="1">IFERROR(AVERAGE(INDEX(INDIRECT("input!" &amp; $H$112 &amp; ":" &amp; $H$112),FirstRowInput+Integration*COUNT($B$114:B338)):INDEX(INDIRECT("input!" &amp; $H$112 &amp; ":" &amp; $H$112),FirstRowInput+Integration*COUNT($B$114:B338)+Integration-1))*$H$110,"")</f>
        <v/>
      </c>
      <c r="I339" s="42">
        <v>227</v>
      </c>
      <c r="J339"/>
      <c r="K339" s="86"/>
      <c r="L339"/>
      <c r="M339"/>
      <c r="N339"/>
      <c r="O339"/>
      <c r="P339"/>
      <c r="Q339"/>
      <c r="R339"/>
      <c r="S339" s="463"/>
      <c r="T339"/>
      <c r="U339"/>
      <c r="V339"/>
      <c r="W339"/>
      <c r="X339"/>
      <c r="Y339"/>
      <c r="Z339"/>
      <c r="AA339"/>
      <c r="AB339"/>
      <c r="AC339"/>
      <c r="AD339"/>
      <c r="AE339"/>
      <c r="AF339"/>
      <c r="AG339"/>
      <c r="AH339"/>
      <c r="AI339"/>
      <c r="AJ339"/>
      <c r="AK339"/>
      <c r="AL339"/>
      <c r="AM339"/>
      <c r="AN339"/>
    </row>
    <row r="340" spans="1:40" s="14" customFormat="1" ht="15" customHeight="1" x14ac:dyDescent="0.15">
      <c r="A340" s="75">
        <f ca="1">IFERROR(IF(AND(MAX($A$114:A339)&gt;A339+1, MAX($A$114:A339)&gt;20),0,IF(AND(D340="",G340=""),0,IF(OR(D340&gt;LimitSignB10, G340&gt;LimitSignB11),A339+1,0))),"")</f>
        <v>0</v>
      </c>
      <c r="B340" s="76" t="str">
        <f ca="1">IFERROR(MyTime(INDEX(INDIRECT("input!"&amp;$B$112&amp;":"&amp;$B$112),FirstRowInput+Integration*COUNT($B$114:B339)) )* $B$110,"")</f>
        <v/>
      </c>
      <c r="C340" s="77" t="str">
        <f ca="1">IFERROR(AVERAGE(INDEX(INDIRECT("input!" &amp; $C$112 &amp; ":" &amp; $C$112),FirstRowInput+Integration*COUNT($B$114:B339)):INDEX(INDIRECT("input!" &amp; $C$112 &amp; ":" &amp; $C$112),FirstRowInput+Integration*COUNT($B$114:B339)+Integration-1))*$C$110,"")</f>
        <v/>
      </c>
      <c r="D340" s="77" t="str">
        <f ca="1">IFERROR(AVERAGE(INDEX(INDIRECT("input!" &amp; $D$112 &amp; ":" &amp; $D$112),FirstRowInput+Integration*COUNT($B$114:B339)):INDEX(INDIRECT("input!" &amp; $D$112 &amp; ":" &amp; $D$112),FirstRowInput+Integration*COUNT($B$114:B339)+Integration-1))*$D$110,"")</f>
        <v/>
      </c>
      <c r="E340" s="77" t="str">
        <f ca="1">IFERROR(AVERAGE(INDEX(INDIRECT("input!" &amp; $E$112 &amp; ":" &amp; $E$112),FirstRowInput+Integration*COUNT($B$114:B339)):INDEX(INDIRECT("input!" &amp; $E$112 &amp; ":" &amp; $E$112),FirstRowInput+Integration*COUNT($B$114:B339)+Integration-1))*$E$110,"")</f>
        <v/>
      </c>
      <c r="F340" s="77" t="str">
        <f ca="1">IFERROR(AVERAGE(INDEX(INDIRECT("input!" &amp; $F$112 &amp; ":" &amp; $F$112),FirstRowInput+Integration*COUNT($B$114:B339)):INDEX(INDIRECT("input!" &amp; $F$112 &amp; ":" &amp; $F$112),FirstRowInput+Integration*COUNT($B$114:B339)+Integration-1))*$F$110,"")</f>
        <v/>
      </c>
      <c r="G340" s="77" t="str">
        <f ca="1">IFERROR(AVERAGE(INDEX(INDIRECT("input!" &amp; $G$112 &amp; ":" &amp; $G$112),FirstRowInput+Integration*COUNT($B$114:B339)):INDEX(INDIRECT("input!" &amp; $G$112 &amp; ":" &amp; $G$112),FirstRowInput+Integration*COUNT($B$114:B339)+Integration-1))*$G$110,"")</f>
        <v/>
      </c>
      <c r="H340" s="77" t="str">
        <f ca="1">IFERROR(AVERAGE(INDEX(INDIRECT("input!" &amp; $H$112 &amp; ":" &amp; $H$112),FirstRowInput+Integration*COUNT($B$114:B339)):INDEX(INDIRECT("input!" &amp; $H$112 &amp; ":" &amp; $H$112),FirstRowInput+Integration*COUNT($B$114:B339)+Integration-1))*$H$110,"")</f>
        <v/>
      </c>
      <c r="I340" s="42">
        <v>228</v>
      </c>
      <c r="J340"/>
      <c r="K340" s="86"/>
      <c r="L340"/>
      <c r="M340"/>
      <c r="N340"/>
      <c r="O340"/>
      <c r="P340"/>
      <c r="Q340"/>
      <c r="R340"/>
      <c r="S340" s="463"/>
      <c r="T340"/>
      <c r="U340"/>
      <c r="V340"/>
      <c r="W340"/>
      <c r="X340"/>
      <c r="Y340"/>
      <c r="Z340"/>
      <c r="AA340"/>
      <c r="AB340"/>
      <c r="AC340"/>
      <c r="AD340"/>
      <c r="AE340"/>
      <c r="AF340"/>
      <c r="AG340"/>
      <c r="AH340"/>
      <c r="AI340"/>
      <c r="AJ340"/>
      <c r="AK340"/>
      <c r="AL340"/>
      <c r="AM340"/>
      <c r="AN340"/>
    </row>
    <row r="341" spans="1:40" s="14" customFormat="1" ht="15" customHeight="1" x14ac:dyDescent="0.15">
      <c r="A341" s="75">
        <f ca="1">IFERROR(IF(AND(MAX($A$114:A340)&gt;A340+1, MAX($A$114:A340)&gt;20),0,IF(AND(D341="",G341=""),0,IF(OR(D341&gt;LimitSignB10, G341&gt;LimitSignB11),A340+1,0))),"")</f>
        <v>0</v>
      </c>
      <c r="B341" s="76" t="str">
        <f ca="1">IFERROR(MyTime(INDEX(INDIRECT("input!"&amp;$B$112&amp;":"&amp;$B$112),FirstRowInput+Integration*COUNT($B$114:B340)) )* $B$110,"")</f>
        <v/>
      </c>
      <c r="C341" s="77" t="str">
        <f ca="1">IFERROR(AVERAGE(INDEX(INDIRECT("input!" &amp; $C$112 &amp; ":" &amp; $C$112),FirstRowInput+Integration*COUNT($B$114:B340)):INDEX(INDIRECT("input!" &amp; $C$112 &amp; ":" &amp; $C$112),FirstRowInput+Integration*COUNT($B$114:B340)+Integration-1))*$C$110,"")</f>
        <v/>
      </c>
      <c r="D341" s="77" t="str">
        <f ca="1">IFERROR(AVERAGE(INDEX(INDIRECT("input!" &amp; $D$112 &amp; ":" &amp; $D$112),FirstRowInput+Integration*COUNT($B$114:B340)):INDEX(INDIRECT("input!" &amp; $D$112 &amp; ":" &amp; $D$112),FirstRowInput+Integration*COUNT($B$114:B340)+Integration-1))*$D$110,"")</f>
        <v/>
      </c>
      <c r="E341" s="77" t="str">
        <f ca="1">IFERROR(AVERAGE(INDEX(INDIRECT("input!" &amp; $E$112 &amp; ":" &amp; $E$112),FirstRowInput+Integration*COUNT($B$114:B340)):INDEX(INDIRECT("input!" &amp; $E$112 &amp; ":" &amp; $E$112),FirstRowInput+Integration*COUNT($B$114:B340)+Integration-1))*$E$110,"")</f>
        <v/>
      </c>
      <c r="F341" s="77" t="str">
        <f ca="1">IFERROR(AVERAGE(INDEX(INDIRECT("input!" &amp; $F$112 &amp; ":" &amp; $F$112),FirstRowInput+Integration*COUNT($B$114:B340)):INDEX(INDIRECT("input!" &amp; $F$112 &amp; ":" &amp; $F$112),FirstRowInput+Integration*COUNT($B$114:B340)+Integration-1))*$F$110,"")</f>
        <v/>
      </c>
      <c r="G341" s="77" t="str">
        <f ca="1">IFERROR(AVERAGE(INDEX(INDIRECT("input!" &amp; $G$112 &amp; ":" &amp; $G$112),FirstRowInput+Integration*COUNT($B$114:B340)):INDEX(INDIRECT("input!" &amp; $G$112 &amp; ":" &amp; $G$112),FirstRowInput+Integration*COUNT($B$114:B340)+Integration-1))*$G$110,"")</f>
        <v/>
      </c>
      <c r="H341" s="77" t="str">
        <f ca="1">IFERROR(AVERAGE(INDEX(INDIRECT("input!" &amp; $H$112 &amp; ":" &amp; $H$112),FirstRowInput+Integration*COUNT($B$114:B340)):INDEX(INDIRECT("input!" &amp; $H$112 &amp; ":" &amp; $H$112),FirstRowInput+Integration*COUNT($B$114:B340)+Integration-1))*$H$110,"")</f>
        <v/>
      </c>
      <c r="I341" s="42">
        <v>229</v>
      </c>
      <c r="J341"/>
      <c r="K341" s="86"/>
      <c r="L341"/>
      <c r="M341"/>
      <c r="N341"/>
      <c r="O341"/>
      <c r="P341"/>
      <c r="Q341"/>
      <c r="R341"/>
      <c r="S341" s="463"/>
      <c r="T341"/>
      <c r="U341"/>
      <c r="V341"/>
      <c r="W341"/>
      <c r="X341"/>
      <c r="Y341"/>
      <c r="Z341"/>
      <c r="AA341"/>
      <c r="AB341"/>
      <c r="AC341"/>
      <c r="AD341"/>
      <c r="AE341"/>
      <c r="AF341"/>
      <c r="AG341"/>
      <c r="AH341"/>
      <c r="AI341"/>
      <c r="AJ341"/>
      <c r="AK341"/>
      <c r="AL341"/>
      <c r="AM341"/>
      <c r="AN341"/>
    </row>
    <row r="342" spans="1:40" s="14" customFormat="1" ht="15" customHeight="1" x14ac:dyDescent="0.15">
      <c r="A342" s="75">
        <f ca="1">IFERROR(IF(AND(MAX($A$114:A341)&gt;A341+1, MAX($A$114:A341)&gt;20),0,IF(AND(D342="",G342=""),0,IF(OR(D342&gt;LimitSignB10, G342&gt;LimitSignB11),A341+1,0))),"")</f>
        <v>0</v>
      </c>
      <c r="B342" s="76" t="str">
        <f ca="1">IFERROR(MyTime(INDEX(INDIRECT("input!"&amp;$B$112&amp;":"&amp;$B$112),FirstRowInput+Integration*COUNT($B$114:B341)) )* $B$110,"")</f>
        <v/>
      </c>
      <c r="C342" s="77" t="str">
        <f ca="1">IFERROR(AVERAGE(INDEX(INDIRECT("input!" &amp; $C$112 &amp; ":" &amp; $C$112),FirstRowInput+Integration*COUNT($B$114:B341)):INDEX(INDIRECT("input!" &amp; $C$112 &amp; ":" &amp; $C$112),FirstRowInput+Integration*COUNT($B$114:B341)+Integration-1))*$C$110,"")</f>
        <v/>
      </c>
      <c r="D342" s="77" t="str">
        <f ca="1">IFERROR(AVERAGE(INDEX(INDIRECT("input!" &amp; $D$112 &amp; ":" &amp; $D$112),FirstRowInput+Integration*COUNT($B$114:B341)):INDEX(INDIRECT("input!" &amp; $D$112 &amp; ":" &amp; $D$112),FirstRowInput+Integration*COUNT($B$114:B341)+Integration-1))*$D$110,"")</f>
        <v/>
      </c>
      <c r="E342" s="77" t="str">
        <f ca="1">IFERROR(AVERAGE(INDEX(INDIRECT("input!" &amp; $E$112 &amp; ":" &amp; $E$112),FirstRowInput+Integration*COUNT($B$114:B341)):INDEX(INDIRECT("input!" &amp; $E$112 &amp; ":" &amp; $E$112),FirstRowInput+Integration*COUNT($B$114:B341)+Integration-1))*$E$110,"")</f>
        <v/>
      </c>
      <c r="F342" s="77" t="str">
        <f ca="1">IFERROR(AVERAGE(INDEX(INDIRECT("input!" &amp; $F$112 &amp; ":" &amp; $F$112),FirstRowInput+Integration*COUNT($B$114:B341)):INDEX(INDIRECT("input!" &amp; $F$112 &amp; ":" &amp; $F$112),FirstRowInput+Integration*COUNT($B$114:B341)+Integration-1))*$F$110,"")</f>
        <v/>
      </c>
      <c r="G342" s="77" t="str">
        <f ca="1">IFERROR(AVERAGE(INDEX(INDIRECT("input!" &amp; $G$112 &amp; ":" &amp; $G$112),FirstRowInput+Integration*COUNT($B$114:B341)):INDEX(INDIRECT("input!" &amp; $G$112 &amp; ":" &amp; $G$112),FirstRowInput+Integration*COUNT($B$114:B341)+Integration-1))*$G$110,"")</f>
        <v/>
      </c>
      <c r="H342" s="77" t="str">
        <f ca="1">IFERROR(AVERAGE(INDEX(INDIRECT("input!" &amp; $H$112 &amp; ":" &amp; $H$112),FirstRowInput+Integration*COUNT($B$114:B341)):INDEX(INDIRECT("input!" &amp; $H$112 &amp; ":" &amp; $H$112),FirstRowInput+Integration*COUNT($B$114:B341)+Integration-1))*$H$110,"")</f>
        <v/>
      </c>
      <c r="I342" s="42">
        <v>230</v>
      </c>
      <c r="J342"/>
      <c r="K342" s="86"/>
      <c r="L342"/>
      <c r="M342"/>
      <c r="N342"/>
      <c r="O342"/>
      <c r="P342"/>
      <c r="Q342"/>
      <c r="R342"/>
      <c r="S342" s="463"/>
      <c r="T342"/>
      <c r="U342"/>
      <c r="V342"/>
      <c r="W342"/>
      <c r="X342"/>
      <c r="Y342"/>
      <c r="Z342"/>
      <c r="AA342"/>
      <c r="AB342"/>
      <c r="AC342"/>
      <c r="AD342"/>
      <c r="AE342"/>
      <c r="AF342"/>
      <c r="AG342"/>
      <c r="AH342"/>
      <c r="AI342"/>
      <c r="AJ342"/>
      <c r="AK342"/>
      <c r="AL342"/>
      <c r="AM342"/>
      <c r="AN342"/>
    </row>
    <row r="343" spans="1:40" s="14" customFormat="1" ht="15" customHeight="1" x14ac:dyDescent="0.15">
      <c r="A343" s="75">
        <f ca="1">IFERROR(IF(AND(MAX($A$114:A342)&gt;A342+1, MAX($A$114:A342)&gt;20),0,IF(AND(D343="",G343=""),0,IF(OR(D343&gt;LimitSignB10, G343&gt;LimitSignB11),A342+1,0))),"")</f>
        <v>0</v>
      </c>
      <c r="B343" s="76" t="str">
        <f ca="1">IFERROR(MyTime(INDEX(INDIRECT("input!"&amp;$B$112&amp;":"&amp;$B$112),FirstRowInput+Integration*COUNT($B$114:B342)) )* $B$110,"")</f>
        <v/>
      </c>
      <c r="C343" s="77" t="str">
        <f ca="1">IFERROR(AVERAGE(INDEX(INDIRECT("input!" &amp; $C$112 &amp; ":" &amp; $C$112),FirstRowInput+Integration*COUNT($B$114:B342)):INDEX(INDIRECT("input!" &amp; $C$112 &amp; ":" &amp; $C$112),FirstRowInput+Integration*COUNT($B$114:B342)+Integration-1))*$C$110,"")</f>
        <v/>
      </c>
      <c r="D343" s="77" t="str">
        <f ca="1">IFERROR(AVERAGE(INDEX(INDIRECT("input!" &amp; $D$112 &amp; ":" &amp; $D$112),FirstRowInput+Integration*COUNT($B$114:B342)):INDEX(INDIRECT("input!" &amp; $D$112 &amp; ":" &amp; $D$112),FirstRowInput+Integration*COUNT($B$114:B342)+Integration-1))*$D$110,"")</f>
        <v/>
      </c>
      <c r="E343" s="77" t="str">
        <f ca="1">IFERROR(AVERAGE(INDEX(INDIRECT("input!" &amp; $E$112 &amp; ":" &amp; $E$112),FirstRowInput+Integration*COUNT($B$114:B342)):INDEX(INDIRECT("input!" &amp; $E$112 &amp; ":" &amp; $E$112),FirstRowInput+Integration*COUNT($B$114:B342)+Integration-1))*$E$110,"")</f>
        <v/>
      </c>
      <c r="F343" s="77" t="str">
        <f ca="1">IFERROR(AVERAGE(INDEX(INDIRECT("input!" &amp; $F$112 &amp; ":" &amp; $F$112),FirstRowInput+Integration*COUNT($B$114:B342)):INDEX(INDIRECT("input!" &amp; $F$112 &amp; ":" &amp; $F$112),FirstRowInput+Integration*COUNT($B$114:B342)+Integration-1))*$F$110,"")</f>
        <v/>
      </c>
      <c r="G343" s="77" t="str">
        <f ca="1">IFERROR(AVERAGE(INDEX(INDIRECT("input!" &amp; $G$112 &amp; ":" &amp; $G$112),FirstRowInput+Integration*COUNT($B$114:B342)):INDEX(INDIRECT("input!" &amp; $G$112 &amp; ":" &amp; $G$112),FirstRowInput+Integration*COUNT($B$114:B342)+Integration-1))*$G$110,"")</f>
        <v/>
      </c>
      <c r="H343" s="77" t="str">
        <f ca="1">IFERROR(AVERAGE(INDEX(INDIRECT("input!" &amp; $H$112 &amp; ":" &amp; $H$112),FirstRowInput+Integration*COUNT($B$114:B342)):INDEX(INDIRECT("input!" &amp; $H$112 &amp; ":" &amp; $H$112),FirstRowInput+Integration*COUNT($B$114:B342)+Integration-1))*$H$110,"")</f>
        <v/>
      </c>
      <c r="I343" s="42">
        <v>231</v>
      </c>
      <c r="J343"/>
      <c r="K343" s="86"/>
      <c r="L343"/>
      <c r="M343"/>
      <c r="N343"/>
      <c r="O343"/>
      <c r="P343"/>
      <c r="Q343"/>
      <c r="R343"/>
      <c r="S343" s="463"/>
      <c r="T343"/>
      <c r="U343"/>
      <c r="V343"/>
      <c r="W343"/>
      <c r="X343"/>
      <c r="Y343"/>
      <c r="Z343"/>
      <c r="AA343"/>
      <c r="AB343"/>
      <c r="AC343"/>
      <c r="AD343"/>
      <c r="AE343"/>
      <c r="AF343"/>
      <c r="AG343"/>
      <c r="AH343"/>
      <c r="AI343"/>
      <c r="AJ343"/>
      <c r="AK343"/>
      <c r="AL343"/>
      <c r="AM343"/>
      <c r="AN343"/>
    </row>
    <row r="344" spans="1:40" s="14" customFormat="1" ht="15" customHeight="1" x14ac:dyDescent="0.15">
      <c r="A344" s="75">
        <f ca="1">IFERROR(IF(AND(MAX($A$114:A343)&gt;A343+1, MAX($A$114:A343)&gt;20),0,IF(AND(D344="",G344=""),0,IF(OR(D344&gt;LimitSignB10, G344&gt;LimitSignB11),A343+1,0))),"")</f>
        <v>0</v>
      </c>
      <c r="B344" s="76" t="str">
        <f ca="1">IFERROR(MyTime(INDEX(INDIRECT("input!"&amp;$B$112&amp;":"&amp;$B$112),FirstRowInput+Integration*COUNT($B$114:B343)) )* $B$110,"")</f>
        <v/>
      </c>
      <c r="C344" s="77" t="str">
        <f ca="1">IFERROR(AVERAGE(INDEX(INDIRECT("input!" &amp; $C$112 &amp; ":" &amp; $C$112),FirstRowInput+Integration*COUNT($B$114:B343)):INDEX(INDIRECT("input!" &amp; $C$112 &amp; ":" &amp; $C$112),FirstRowInput+Integration*COUNT($B$114:B343)+Integration-1))*$C$110,"")</f>
        <v/>
      </c>
      <c r="D344" s="77" t="str">
        <f ca="1">IFERROR(AVERAGE(INDEX(INDIRECT("input!" &amp; $D$112 &amp; ":" &amp; $D$112),FirstRowInput+Integration*COUNT($B$114:B343)):INDEX(INDIRECT("input!" &amp; $D$112 &amp; ":" &amp; $D$112),FirstRowInput+Integration*COUNT($B$114:B343)+Integration-1))*$D$110,"")</f>
        <v/>
      </c>
      <c r="E344" s="77" t="str">
        <f ca="1">IFERROR(AVERAGE(INDEX(INDIRECT("input!" &amp; $E$112 &amp; ":" &amp; $E$112),FirstRowInput+Integration*COUNT($B$114:B343)):INDEX(INDIRECT("input!" &amp; $E$112 &amp; ":" &amp; $E$112),FirstRowInput+Integration*COUNT($B$114:B343)+Integration-1))*$E$110,"")</f>
        <v/>
      </c>
      <c r="F344" s="77" t="str">
        <f ca="1">IFERROR(AVERAGE(INDEX(INDIRECT("input!" &amp; $F$112 &amp; ":" &amp; $F$112),FirstRowInput+Integration*COUNT($B$114:B343)):INDEX(INDIRECT("input!" &amp; $F$112 &amp; ":" &amp; $F$112),FirstRowInput+Integration*COUNT($B$114:B343)+Integration-1))*$F$110,"")</f>
        <v/>
      </c>
      <c r="G344" s="77" t="str">
        <f ca="1">IFERROR(AVERAGE(INDEX(INDIRECT("input!" &amp; $G$112 &amp; ":" &amp; $G$112),FirstRowInput+Integration*COUNT($B$114:B343)):INDEX(INDIRECT("input!" &amp; $G$112 &amp; ":" &amp; $G$112),FirstRowInput+Integration*COUNT($B$114:B343)+Integration-1))*$G$110,"")</f>
        <v/>
      </c>
      <c r="H344" s="77" t="str">
        <f ca="1">IFERROR(AVERAGE(INDEX(INDIRECT("input!" &amp; $H$112 &amp; ":" &amp; $H$112),FirstRowInput+Integration*COUNT($B$114:B343)):INDEX(INDIRECT("input!" &amp; $H$112 &amp; ":" &amp; $H$112),FirstRowInput+Integration*COUNT($B$114:B343)+Integration-1))*$H$110,"")</f>
        <v/>
      </c>
      <c r="I344" s="42">
        <v>232</v>
      </c>
      <c r="J344"/>
      <c r="K344"/>
      <c r="L344"/>
      <c r="M344"/>
      <c r="N344"/>
      <c r="O344"/>
      <c r="P344"/>
      <c r="Q344"/>
      <c r="R344"/>
      <c r="S344" s="463"/>
      <c r="T344"/>
      <c r="U344"/>
      <c r="V344"/>
      <c r="W344"/>
      <c r="X344"/>
      <c r="Y344"/>
      <c r="Z344"/>
      <c r="AA344"/>
      <c r="AB344"/>
      <c r="AC344"/>
      <c r="AD344"/>
      <c r="AE344"/>
      <c r="AF344"/>
      <c r="AG344"/>
      <c r="AH344"/>
      <c r="AI344"/>
      <c r="AJ344"/>
      <c r="AK344"/>
      <c r="AL344"/>
      <c r="AM344"/>
      <c r="AN344"/>
    </row>
    <row r="345" spans="1:40" s="14" customFormat="1" ht="15" customHeight="1" x14ac:dyDescent="0.15">
      <c r="A345" s="75">
        <f ca="1">IFERROR(IF(AND(MAX($A$114:A344)&gt;A344+1, MAX($A$114:A344)&gt;20),0,IF(AND(D345="",G345=""),0,IF(OR(D345&gt;LimitSignB10, G345&gt;LimitSignB11),A344+1,0))),"")</f>
        <v>0</v>
      </c>
      <c r="B345" s="76" t="str">
        <f ca="1">IFERROR(MyTime(INDEX(INDIRECT("input!"&amp;$B$112&amp;":"&amp;$B$112),FirstRowInput+Integration*COUNT($B$114:B344)) )* $B$110,"")</f>
        <v/>
      </c>
      <c r="C345" s="77" t="str">
        <f ca="1">IFERROR(AVERAGE(INDEX(INDIRECT("input!" &amp; $C$112 &amp; ":" &amp; $C$112),FirstRowInput+Integration*COUNT($B$114:B344)):INDEX(INDIRECT("input!" &amp; $C$112 &amp; ":" &amp; $C$112),FirstRowInput+Integration*COUNT($B$114:B344)+Integration-1))*$C$110,"")</f>
        <v/>
      </c>
      <c r="D345" s="77" t="str">
        <f ca="1">IFERROR(AVERAGE(INDEX(INDIRECT("input!" &amp; $D$112 &amp; ":" &amp; $D$112),FirstRowInput+Integration*COUNT($B$114:B344)):INDEX(INDIRECT("input!" &amp; $D$112 &amp; ":" &amp; $D$112),FirstRowInput+Integration*COUNT($B$114:B344)+Integration-1))*$D$110,"")</f>
        <v/>
      </c>
      <c r="E345" s="77" t="str">
        <f ca="1">IFERROR(AVERAGE(INDEX(INDIRECT("input!" &amp; $E$112 &amp; ":" &amp; $E$112),FirstRowInput+Integration*COUNT($B$114:B344)):INDEX(INDIRECT("input!" &amp; $E$112 &amp; ":" &amp; $E$112),FirstRowInput+Integration*COUNT($B$114:B344)+Integration-1))*$E$110,"")</f>
        <v/>
      </c>
      <c r="F345" s="77" t="str">
        <f ca="1">IFERROR(AVERAGE(INDEX(INDIRECT("input!" &amp; $F$112 &amp; ":" &amp; $F$112),FirstRowInput+Integration*COUNT($B$114:B344)):INDEX(INDIRECT("input!" &amp; $F$112 &amp; ":" &amp; $F$112),FirstRowInput+Integration*COUNT($B$114:B344)+Integration-1))*$F$110,"")</f>
        <v/>
      </c>
      <c r="G345" s="77" t="str">
        <f ca="1">IFERROR(AVERAGE(INDEX(INDIRECT("input!" &amp; $G$112 &amp; ":" &amp; $G$112),FirstRowInput+Integration*COUNT($B$114:B344)):INDEX(INDIRECT("input!" &amp; $G$112 &amp; ":" &amp; $G$112),FirstRowInput+Integration*COUNT($B$114:B344)+Integration-1))*$G$110,"")</f>
        <v/>
      </c>
      <c r="H345" s="77" t="str">
        <f ca="1">IFERROR(AVERAGE(INDEX(INDIRECT("input!" &amp; $H$112 &amp; ":" &amp; $H$112),FirstRowInput+Integration*COUNT($B$114:B344)):INDEX(INDIRECT("input!" &amp; $H$112 &amp; ":" &amp; $H$112),FirstRowInput+Integration*COUNT($B$114:B344)+Integration-1))*$H$110,"")</f>
        <v/>
      </c>
      <c r="I345" s="42">
        <v>233</v>
      </c>
      <c r="J345"/>
      <c r="K345"/>
      <c r="L345"/>
      <c r="M345"/>
      <c r="N345"/>
      <c r="O345"/>
      <c r="P345"/>
      <c r="Q345"/>
      <c r="R345"/>
      <c r="S345" s="463"/>
      <c r="T345"/>
      <c r="U345"/>
      <c r="V345"/>
      <c r="W345"/>
      <c r="X345"/>
      <c r="Y345"/>
      <c r="Z345"/>
      <c r="AA345"/>
      <c r="AB345"/>
      <c r="AC345"/>
      <c r="AD345"/>
      <c r="AE345"/>
      <c r="AF345"/>
      <c r="AG345"/>
      <c r="AH345"/>
      <c r="AI345"/>
      <c r="AJ345"/>
      <c r="AK345"/>
      <c r="AL345"/>
      <c r="AM345"/>
      <c r="AN345"/>
    </row>
    <row r="346" spans="1:40" s="14" customFormat="1" ht="15" customHeight="1" x14ac:dyDescent="0.15">
      <c r="A346" s="75">
        <f ca="1">IFERROR(IF(AND(MAX($A$114:A345)&gt;A345+1, MAX($A$114:A345)&gt;20),0,IF(AND(D346="",G346=""),0,IF(OR(D346&gt;LimitSignB10, G346&gt;LimitSignB11),A345+1,0))),"")</f>
        <v>0</v>
      </c>
      <c r="B346" s="76" t="str">
        <f ca="1">IFERROR(MyTime(INDEX(INDIRECT("input!"&amp;$B$112&amp;":"&amp;$B$112),FirstRowInput+Integration*COUNT($B$114:B345)) )* $B$110,"")</f>
        <v/>
      </c>
      <c r="C346" s="77" t="str">
        <f ca="1">IFERROR(AVERAGE(INDEX(INDIRECT("input!" &amp; $C$112 &amp; ":" &amp; $C$112),FirstRowInput+Integration*COUNT($B$114:B345)):INDEX(INDIRECT("input!" &amp; $C$112 &amp; ":" &amp; $C$112),FirstRowInput+Integration*COUNT($B$114:B345)+Integration-1))*$C$110,"")</f>
        <v/>
      </c>
      <c r="D346" s="77" t="str">
        <f ca="1">IFERROR(AVERAGE(INDEX(INDIRECT("input!" &amp; $D$112 &amp; ":" &amp; $D$112),FirstRowInput+Integration*COUNT($B$114:B345)):INDEX(INDIRECT("input!" &amp; $D$112 &amp; ":" &amp; $D$112),FirstRowInput+Integration*COUNT($B$114:B345)+Integration-1))*$D$110,"")</f>
        <v/>
      </c>
      <c r="E346" s="77" t="str">
        <f ca="1">IFERROR(AVERAGE(INDEX(INDIRECT("input!" &amp; $E$112 &amp; ":" &amp; $E$112),FirstRowInput+Integration*COUNT($B$114:B345)):INDEX(INDIRECT("input!" &amp; $E$112 &amp; ":" &amp; $E$112),FirstRowInput+Integration*COUNT($B$114:B345)+Integration-1))*$E$110,"")</f>
        <v/>
      </c>
      <c r="F346" s="77" t="str">
        <f ca="1">IFERROR(AVERAGE(INDEX(INDIRECT("input!" &amp; $F$112 &amp; ":" &amp; $F$112),FirstRowInput+Integration*COUNT($B$114:B345)):INDEX(INDIRECT("input!" &amp; $F$112 &amp; ":" &amp; $F$112),FirstRowInput+Integration*COUNT($B$114:B345)+Integration-1))*$F$110,"")</f>
        <v/>
      </c>
      <c r="G346" s="77" t="str">
        <f ca="1">IFERROR(AVERAGE(INDEX(INDIRECT("input!" &amp; $G$112 &amp; ":" &amp; $G$112),FirstRowInput+Integration*COUNT($B$114:B345)):INDEX(INDIRECT("input!" &amp; $G$112 &amp; ":" &amp; $G$112),FirstRowInput+Integration*COUNT($B$114:B345)+Integration-1))*$G$110,"")</f>
        <v/>
      </c>
      <c r="H346" s="77" t="str">
        <f ca="1">IFERROR(AVERAGE(INDEX(INDIRECT("input!" &amp; $H$112 &amp; ":" &amp; $H$112),FirstRowInput+Integration*COUNT($B$114:B345)):INDEX(INDIRECT("input!" &amp; $H$112 &amp; ":" &amp; $H$112),FirstRowInput+Integration*COUNT($B$114:B345)+Integration-1))*$H$110,"")</f>
        <v/>
      </c>
      <c r="I346" s="42">
        <v>234</v>
      </c>
      <c r="J346"/>
      <c r="K346"/>
      <c r="L346"/>
      <c r="M346"/>
      <c r="N346"/>
      <c r="O346"/>
      <c r="P346"/>
      <c r="Q346"/>
      <c r="R346"/>
      <c r="S346" s="463"/>
      <c r="T346"/>
      <c r="U346"/>
      <c r="V346"/>
      <c r="W346"/>
      <c r="X346"/>
      <c r="Y346"/>
      <c r="Z346"/>
      <c r="AA346"/>
      <c r="AB346"/>
      <c r="AC346"/>
      <c r="AD346"/>
      <c r="AE346"/>
      <c r="AF346"/>
      <c r="AG346"/>
      <c r="AH346"/>
      <c r="AI346"/>
      <c r="AJ346"/>
      <c r="AK346"/>
      <c r="AL346"/>
      <c r="AM346"/>
      <c r="AN346"/>
    </row>
    <row r="347" spans="1:40" s="14" customFormat="1" ht="15" customHeight="1" x14ac:dyDescent="0.15">
      <c r="A347" s="75">
        <f ca="1">IFERROR(IF(AND(MAX($A$114:A346)&gt;A346+1, MAX($A$114:A346)&gt;20),0,IF(AND(D347="",G347=""),0,IF(OR(D347&gt;LimitSignB10, G347&gt;LimitSignB11),A346+1,0))),"")</f>
        <v>0</v>
      </c>
      <c r="B347" s="76" t="str">
        <f ca="1">IFERROR(MyTime(INDEX(INDIRECT("input!"&amp;$B$112&amp;":"&amp;$B$112),FirstRowInput+Integration*COUNT($B$114:B346)) )* $B$110,"")</f>
        <v/>
      </c>
      <c r="C347" s="77" t="str">
        <f ca="1">IFERROR(AVERAGE(INDEX(INDIRECT("input!" &amp; $C$112 &amp; ":" &amp; $C$112),FirstRowInput+Integration*COUNT($B$114:B346)):INDEX(INDIRECT("input!" &amp; $C$112 &amp; ":" &amp; $C$112),FirstRowInput+Integration*COUNT($B$114:B346)+Integration-1))*$C$110,"")</f>
        <v/>
      </c>
      <c r="D347" s="77" t="str">
        <f ca="1">IFERROR(AVERAGE(INDEX(INDIRECT("input!" &amp; $D$112 &amp; ":" &amp; $D$112),FirstRowInput+Integration*COUNT($B$114:B346)):INDEX(INDIRECT("input!" &amp; $D$112 &amp; ":" &amp; $D$112),FirstRowInput+Integration*COUNT($B$114:B346)+Integration-1))*$D$110,"")</f>
        <v/>
      </c>
      <c r="E347" s="77" t="str">
        <f ca="1">IFERROR(AVERAGE(INDEX(INDIRECT("input!" &amp; $E$112 &amp; ":" &amp; $E$112),FirstRowInput+Integration*COUNT($B$114:B346)):INDEX(INDIRECT("input!" &amp; $E$112 &amp; ":" &amp; $E$112),FirstRowInput+Integration*COUNT($B$114:B346)+Integration-1))*$E$110,"")</f>
        <v/>
      </c>
      <c r="F347" s="77" t="str">
        <f ca="1">IFERROR(AVERAGE(INDEX(INDIRECT("input!" &amp; $F$112 &amp; ":" &amp; $F$112),FirstRowInput+Integration*COUNT($B$114:B346)):INDEX(INDIRECT("input!" &amp; $F$112 &amp; ":" &amp; $F$112),FirstRowInput+Integration*COUNT($B$114:B346)+Integration-1))*$F$110,"")</f>
        <v/>
      </c>
      <c r="G347" s="77" t="str">
        <f ca="1">IFERROR(AVERAGE(INDEX(INDIRECT("input!" &amp; $G$112 &amp; ":" &amp; $G$112),FirstRowInput+Integration*COUNT($B$114:B346)):INDEX(INDIRECT("input!" &amp; $G$112 &amp; ":" &amp; $G$112),FirstRowInput+Integration*COUNT($B$114:B346)+Integration-1))*$G$110,"")</f>
        <v/>
      </c>
      <c r="H347" s="77" t="str">
        <f ca="1">IFERROR(AVERAGE(INDEX(INDIRECT("input!" &amp; $H$112 &amp; ":" &amp; $H$112),FirstRowInput+Integration*COUNT($B$114:B346)):INDEX(INDIRECT("input!" &amp; $H$112 &amp; ":" &amp; $H$112),FirstRowInput+Integration*COUNT($B$114:B346)+Integration-1))*$H$110,"")</f>
        <v/>
      </c>
      <c r="I347" s="42">
        <v>235</v>
      </c>
      <c r="J347"/>
      <c r="K347"/>
      <c r="L347"/>
      <c r="M347"/>
      <c r="N347"/>
      <c r="O347"/>
      <c r="P347"/>
      <c r="Q347"/>
      <c r="R347"/>
      <c r="S347" s="463"/>
      <c r="T347"/>
      <c r="U347"/>
      <c r="V347"/>
      <c r="W347"/>
      <c r="X347"/>
      <c r="Y347"/>
      <c r="Z347"/>
      <c r="AA347"/>
      <c r="AB347"/>
      <c r="AC347"/>
      <c r="AD347"/>
      <c r="AE347"/>
      <c r="AF347"/>
      <c r="AG347"/>
      <c r="AH347"/>
      <c r="AI347"/>
      <c r="AJ347"/>
      <c r="AK347"/>
      <c r="AL347"/>
      <c r="AM347"/>
      <c r="AN347"/>
    </row>
    <row r="348" spans="1:40" s="14" customFormat="1" ht="15" customHeight="1" x14ac:dyDescent="0.15">
      <c r="A348" s="75">
        <f ca="1">IFERROR(IF(AND(MAX($A$114:A347)&gt;A347+1, MAX($A$114:A347)&gt;20),0,IF(AND(D348="",G348=""),0,IF(OR(D348&gt;LimitSignB10, G348&gt;LimitSignB11),A347+1,0))),"")</f>
        <v>0</v>
      </c>
      <c r="B348" s="76" t="str">
        <f ca="1">IFERROR(MyTime(INDEX(INDIRECT("input!"&amp;$B$112&amp;":"&amp;$B$112),FirstRowInput+Integration*COUNT($B$114:B347)) )* $B$110,"")</f>
        <v/>
      </c>
      <c r="C348" s="77" t="str">
        <f ca="1">IFERROR(AVERAGE(INDEX(INDIRECT("input!" &amp; $C$112 &amp; ":" &amp; $C$112),FirstRowInput+Integration*COUNT($B$114:B347)):INDEX(INDIRECT("input!" &amp; $C$112 &amp; ":" &amp; $C$112),FirstRowInput+Integration*COUNT($B$114:B347)+Integration-1))*$C$110,"")</f>
        <v/>
      </c>
      <c r="D348" s="77" t="str">
        <f ca="1">IFERROR(AVERAGE(INDEX(INDIRECT("input!" &amp; $D$112 &amp; ":" &amp; $D$112),FirstRowInput+Integration*COUNT($B$114:B347)):INDEX(INDIRECT("input!" &amp; $D$112 &amp; ":" &amp; $D$112),FirstRowInput+Integration*COUNT($B$114:B347)+Integration-1))*$D$110,"")</f>
        <v/>
      </c>
      <c r="E348" s="77" t="str">
        <f ca="1">IFERROR(AVERAGE(INDEX(INDIRECT("input!" &amp; $E$112 &amp; ":" &amp; $E$112),FirstRowInput+Integration*COUNT($B$114:B347)):INDEX(INDIRECT("input!" &amp; $E$112 &amp; ":" &amp; $E$112),FirstRowInput+Integration*COUNT($B$114:B347)+Integration-1))*$E$110,"")</f>
        <v/>
      </c>
      <c r="F348" s="77" t="str">
        <f ca="1">IFERROR(AVERAGE(INDEX(INDIRECT("input!" &amp; $F$112 &amp; ":" &amp; $F$112),FirstRowInput+Integration*COUNT($B$114:B347)):INDEX(INDIRECT("input!" &amp; $F$112 &amp; ":" &amp; $F$112),FirstRowInput+Integration*COUNT($B$114:B347)+Integration-1))*$F$110,"")</f>
        <v/>
      </c>
      <c r="G348" s="77" t="str">
        <f ca="1">IFERROR(AVERAGE(INDEX(INDIRECT("input!" &amp; $G$112 &amp; ":" &amp; $G$112),FirstRowInput+Integration*COUNT($B$114:B347)):INDEX(INDIRECT("input!" &amp; $G$112 &amp; ":" &amp; $G$112),FirstRowInput+Integration*COUNT($B$114:B347)+Integration-1))*$G$110,"")</f>
        <v/>
      </c>
      <c r="H348" s="77" t="str">
        <f ca="1">IFERROR(AVERAGE(INDEX(INDIRECT("input!" &amp; $H$112 &amp; ":" &amp; $H$112),FirstRowInput+Integration*COUNT($B$114:B347)):INDEX(INDIRECT("input!" &amp; $H$112 &amp; ":" &amp; $H$112),FirstRowInput+Integration*COUNT($B$114:B347)+Integration-1))*$H$110,"")</f>
        <v/>
      </c>
      <c r="I348" s="42">
        <v>236</v>
      </c>
      <c r="J348"/>
      <c r="K348"/>
      <c r="L348"/>
      <c r="M348"/>
      <c r="N348"/>
      <c r="O348"/>
      <c r="P348"/>
      <c r="Q348"/>
      <c r="R348"/>
      <c r="S348" s="463"/>
      <c r="T348"/>
      <c r="U348"/>
      <c r="V348"/>
      <c r="W348"/>
      <c r="X348"/>
      <c r="Y348"/>
      <c r="Z348"/>
      <c r="AA348"/>
      <c r="AB348"/>
      <c r="AC348"/>
      <c r="AD348"/>
      <c r="AE348"/>
      <c r="AF348"/>
      <c r="AG348"/>
      <c r="AH348"/>
      <c r="AI348"/>
      <c r="AJ348"/>
      <c r="AK348"/>
      <c r="AL348"/>
      <c r="AM348"/>
      <c r="AN348"/>
    </row>
    <row r="349" spans="1:40" s="14" customFormat="1" ht="15" customHeight="1" x14ac:dyDescent="0.15">
      <c r="A349" s="75">
        <f ca="1">IFERROR(IF(AND(MAX($A$114:A348)&gt;A348+1, MAX($A$114:A348)&gt;20),0,IF(AND(D349="",G349=""),0,IF(OR(D349&gt;LimitSignB10, G349&gt;LimitSignB11),A348+1,0))),"")</f>
        <v>0</v>
      </c>
      <c r="B349" s="76" t="str">
        <f ca="1">IFERROR(MyTime(INDEX(INDIRECT("input!"&amp;$B$112&amp;":"&amp;$B$112),FirstRowInput+Integration*COUNT($B$114:B348)) )* $B$110,"")</f>
        <v/>
      </c>
      <c r="C349" s="77" t="str">
        <f ca="1">IFERROR(AVERAGE(INDEX(INDIRECT("input!" &amp; $C$112 &amp; ":" &amp; $C$112),FirstRowInput+Integration*COUNT($B$114:B348)):INDEX(INDIRECT("input!" &amp; $C$112 &amp; ":" &amp; $C$112),FirstRowInput+Integration*COUNT($B$114:B348)+Integration-1))*$C$110,"")</f>
        <v/>
      </c>
      <c r="D349" s="77" t="str">
        <f ca="1">IFERROR(AVERAGE(INDEX(INDIRECT("input!" &amp; $D$112 &amp; ":" &amp; $D$112),FirstRowInput+Integration*COUNT($B$114:B348)):INDEX(INDIRECT("input!" &amp; $D$112 &amp; ":" &amp; $D$112),FirstRowInput+Integration*COUNT($B$114:B348)+Integration-1))*$D$110,"")</f>
        <v/>
      </c>
      <c r="E349" s="77" t="str">
        <f ca="1">IFERROR(AVERAGE(INDEX(INDIRECT("input!" &amp; $E$112 &amp; ":" &amp; $E$112),FirstRowInput+Integration*COUNT($B$114:B348)):INDEX(INDIRECT("input!" &amp; $E$112 &amp; ":" &amp; $E$112),FirstRowInput+Integration*COUNT($B$114:B348)+Integration-1))*$E$110,"")</f>
        <v/>
      </c>
      <c r="F349" s="77" t="str">
        <f ca="1">IFERROR(AVERAGE(INDEX(INDIRECT("input!" &amp; $F$112 &amp; ":" &amp; $F$112),FirstRowInput+Integration*COUNT($B$114:B348)):INDEX(INDIRECT("input!" &amp; $F$112 &amp; ":" &amp; $F$112),FirstRowInput+Integration*COUNT($B$114:B348)+Integration-1))*$F$110,"")</f>
        <v/>
      </c>
      <c r="G349" s="77" t="str">
        <f ca="1">IFERROR(AVERAGE(INDEX(INDIRECT("input!" &amp; $G$112 &amp; ":" &amp; $G$112),FirstRowInput+Integration*COUNT($B$114:B348)):INDEX(INDIRECT("input!" &amp; $G$112 &amp; ":" &amp; $G$112),FirstRowInput+Integration*COUNT($B$114:B348)+Integration-1))*$G$110,"")</f>
        <v/>
      </c>
      <c r="H349" s="77" t="str">
        <f ca="1">IFERROR(AVERAGE(INDEX(INDIRECT("input!" &amp; $H$112 &amp; ":" &amp; $H$112),FirstRowInput+Integration*COUNT($B$114:B348)):INDEX(INDIRECT("input!" &amp; $H$112 &amp; ":" &amp; $H$112),FirstRowInput+Integration*COUNT($B$114:B348)+Integration-1))*$H$110,"")</f>
        <v/>
      </c>
      <c r="I349" s="42">
        <v>237</v>
      </c>
      <c r="J349"/>
      <c r="K349"/>
      <c r="L349"/>
      <c r="M349"/>
      <c r="N349"/>
      <c r="O349"/>
      <c r="P349"/>
      <c r="Q349"/>
      <c r="R349"/>
      <c r="S349" s="463"/>
      <c r="T349"/>
      <c r="U349"/>
      <c r="V349"/>
      <c r="W349"/>
      <c r="X349"/>
      <c r="Y349"/>
      <c r="Z349"/>
      <c r="AA349"/>
      <c r="AB349"/>
      <c r="AC349"/>
      <c r="AD349"/>
      <c r="AE349"/>
      <c r="AF349"/>
      <c r="AG349"/>
      <c r="AH349"/>
      <c r="AI349"/>
      <c r="AJ349"/>
      <c r="AK349"/>
      <c r="AL349"/>
      <c r="AM349"/>
      <c r="AN349"/>
    </row>
    <row r="350" spans="1:40" s="14" customFormat="1" ht="15" customHeight="1" x14ac:dyDescent="0.15">
      <c r="A350" s="75">
        <f ca="1">IFERROR(IF(AND(MAX($A$114:A349)&gt;A349+1, MAX($A$114:A349)&gt;20),0,IF(AND(D350="",G350=""),0,IF(OR(D350&gt;LimitSignB10, G350&gt;LimitSignB11),A349+1,0))),"")</f>
        <v>0</v>
      </c>
      <c r="B350" s="76" t="str">
        <f ca="1">IFERROR(MyTime(INDEX(INDIRECT("input!"&amp;$B$112&amp;":"&amp;$B$112),FirstRowInput+Integration*COUNT($B$114:B349)) )* $B$110,"")</f>
        <v/>
      </c>
      <c r="C350" s="77" t="str">
        <f ca="1">IFERROR(AVERAGE(INDEX(INDIRECT("input!" &amp; $C$112 &amp; ":" &amp; $C$112),FirstRowInput+Integration*COUNT($B$114:B349)):INDEX(INDIRECT("input!" &amp; $C$112 &amp; ":" &amp; $C$112),FirstRowInput+Integration*COUNT($B$114:B349)+Integration-1))*$C$110,"")</f>
        <v/>
      </c>
      <c r="D350" s="77" t="str">
        <f ca="1">IFERROR(AVERAGE(INDEX(INDIRECT("input!" &amp; $D$112 &amp; ":" &amp; $D$112),FirstRowInput+Integration*COUNT($B$114:B349)):INDEX(INDIRECT("input!" &amp; $D$112 &amp; ":" &amp; $D$112),FirstRowInput+Integration*COUNT($B$114:B349)+Integration-1))*$D$110,"")</f>
        <v/>
      </c>
      <c r="E350" s="77" t="str">
        <f ca="1">IFERROR(AVERAGE(INDEX(INDIRECT("input!" &amp; $E$112 &amp; ":" &amp; $E$112),FirstRowInput+Integration*COUNT($B$114:B349)):INDEX(INDIRECT("input!" &amp; $E$112 &amp; ":" &amp; $E$112),FirstRowInput+Integration*COUNT($B$114:B349)+Integration-1))*$E$110,"")</f>
        <v/>
      </c>
      <c r="F350" s="77" t="str">
        <f ca="1">IFERROR(AVERAGE(INDEX(INDIRECT("input!" &amp; $F$112 &amp; ":" &amp; $F$112),FirstRowInput+Integration*COUNT($B$114:B349)):INDEX(INDIRECT("input!" &amp; $F$112 &amp; ":" &amp; $F$112),FirstRowInput+Integration*COUNT($B$114:B349)+Integration-1))*$F$110,"")</f>
        <v/>
      </c>
      <c r="G350" s="77" t="str">
        <f ca="1">IFERROR(AVERAGE(INDEX(INDIRECT("input!" &amp; $G$112 &amp; ":" &amp; $G$112),FirstRowInput+Integration*COUNT($B$114:B349)):INDEX(INDIRECT("input!" &amp; $G$112 &amp; ":" &amp; $G$112),FirstRowInput+Integration*COUNT($B$114:B349)+Integration-1))*$G$110,"")</f>
        <v/>
      </c>
      <c r="H350" s="77" t="str">
        <f ca="1">IFERROR(AVERAGE(INDEX(INDIRECT("input!" &amp; $H$112 &amp; ":" &amp; $H$112),FirstRowInput+Integration*COUNT($B$114:B349)):INDEX(INDIRECT("input!" &amp; $H$112 &amp; ":" &amp; $H$112),FirstRowInput+Integration*COUNT($B$114:B349)+Integration-1))*$H$110,"")</f>
        <v/>
      </c>
      <c r="I350" s="42">
        <v>238</v>
      </c>
      <c r="J350"/>
      <c r="K350"/>
      <c r="L350"/>
      <c r="M350"/>
      <c r="N350"/>
      <c r="O350"/>
      <c r="P350"/>
      <c r="Q350"/>
      <c r="R350"/>
      <c r="S350" s="463"/>
      <c r="T350"/>
      <c r="U350"/>
      <c r="V350"/>
      <c r="W350"/>
      <c r="X350"/>
      <c r="Y350"/>
      <c r="Z350"/>
      <c r="AA350"/>
      <c r="AB350"/>
      <c r="AC350"/>
      <c r="AD350"/>
      <c r="AE350"/>
      <c r="AF350"/>
      <c r="AG350"/>
      <c r="AH350"/>
      <c r="AI350"/>
      <c r="AJ350"/>
      <c r="AK350"/>
      <c r="AL350"/>
      <c r="AM350"/>
      <c r="AN350"/>
    </row>
    <row r="351" spans="1:40" s="14" customFormat="1" ht="15" customHeight="1" x14ac:dyDescent="0.15">
      <c r="A351" s="75">
        <f ca="1">IFERROR(IF(AND(MAX($A$114:A350)&gt;A350+1, MAX($A$114:A350)&gt;20),0,IF(AND(D351="",G351=""),0,IF(OR(D351&gt;LimitSignB10, G351&gt;LimitSignB11),A350+1,0))),"")</f>
        <v>0</v>
      </c>
      <c r="B351" s="76" t="str">
        <f ca="1">IFERROR(MyTime(INDEX(INDIRECT("input!"&amp;$B$112&amp;":"&amp;$B$112),FirstRowInput+Integration*COUNT($B$114:B350)) )* $B$110,"")</f>
        <v/>
      </c>
      <c r="C351" s="77" t="str">
        <f ca="1">IFERROR(AVERAGE(INDEX(INDIRECT("input!" &amp; $C$112 &amp; ":" &amp; $C$112),FirstRowInput+Integration*COUNT($B$114:B350)):INDEX(INDIRECT("input!" &amp; $C$112 &amp; ":" &amp; $C$112),FirstRowInput+Integration*COUNT($B$114:B350)+Integration-1))*$C$110,"")</f>
        <v/>
      </c>
      <c r="D351" s="77" t="str">
        <f ca="1">IFERROR(AVERAGE(INDEX(INDIRECT("input!" &amp; $D$112 &amp; ":" &amp; $D$112),FirstRowInput+Integration*COUNT($B$114:B350)):INDEX(INDIRECT("input!" &amp; $D$112 &amp; ":" &amp; $D$112),FirstRowInput+Integration*COUNT($B$114:B350)+Integration-1))*$D$110,"")</f>
        <v/>
      </c>
      <c r="E351" s="77" t="str">
        <f ca="1">IFERROR(AVERAGE(INDEX(INDIRECT("input!" &amp; $E$112 &amp; ":" &amp; $E$112),FirstRowInput+Integration*COUNT($B$114:B350)):INDEX(INDIRECT("input!" &amp; $E$112 &amp; ":" &amp; $E$112),FirstRowInput+Integration*COUNT($B$114:B350)+Integration-1))*$E$110,"")</f>
        <v/>
      </c>
      <c r="F351" s="77" t="str">
        <f ca="1">IFERROR(AVERAGE(INDEX(INDIRECT("input!" &amp; $F$112 &amp; ":" &amp; $F$112),FirstRowInput+Integration*COUNT($B$114:B350)):INDEX(INDIRECT("input!" &amp; $F$112 &amp; ":" &amp; $F$112),FirstRowInput+Integration*COUNT($B$114:B350)+Integration-1))*$F$110,"")</f>
        <v/>
      </c>
      <c r="G351" s="77" t="str">
        <f ca="1">IFERROR(AVERAGE(INDEX(INDIRECT("input!" &amp; $G$112 &amp; ":" &amp; $G$112),FirstRowInput+Integration*COUNT($B$114:B350)):INDEX(INDIRECT("input!" &amp; $G$112 &amp; ":" &amp; $G$112),FirstRowInput+Integration*COUNT($B$114:B350)+Integration-1))*$G$110,"")</f>
        <v/>
      </c>
      <c r="H351" s="77" t="str">
        <f ca="1">IFERROR(AVERAGE(INDEX(INDIRECT("input!" &amp; $H$112 &amp; ":" &amp; $H$112),FirstRowInput+Integration*COUNT($B$114:B350)):INDEX(INDIRECT("input!" &amp; $H$112 &amp; ":" &amp; $H$112),FirstRowInput+Integration*COUNT($B$114:B350)+Integration-1))*$H$110,"")</f>
        <v/>
      </c>
      <c r="I351" s="42">
        <v>239</v>
      </c>
      <c r="J351"/>
      <c r="K351"/>
      <c r="L351"/>
      <c r="M351"/>
      <c r="N351"/>
      <c r="O351"/>
      <c r="P351"/>
      <c r="Q351"/>
      <c r="R351"/>
      <c r="S351" s="463"/>
      <c r="T351"/>
      <c r="U351"/>
      <c r="V351"/>
      <c r="W351"/>
      <c r="X351"/>
      <c r="Y351"/>
      <c r="Z351"/>
      <c r="AA351"/>
      <c r="AB351"/>
      <c r="AC351"/>
      <c r="AD351"/>
      <c r="AE351"/>
      <c r="AF351"/>
      <c r="AG351"/>
      <c r="AH351"/>
      <c r="AI351"/>
      <c r="AJ351"/>
      <c r="AK351"/>
      <c r="AL351"/>
      <c r="AM351"/>
      <c r="AN351"/>
    </row>
    <row r="352" spans="1:40" s="14" customFormat="1" ht="15" customHeight="1" x14ac:dyDescent="0.15">
      <c r="A352" s="75">
        <f ca="1">IFERROR(IF(AND(MAX($A$114:A351)&gt;A351+1, MAX($A$114:A351)&gt;20),0,IF(AND(D352="",G352=""),0,IF(OR(D352&gt;LimitSignB10, G352&gt;LimitSignB11),A351+1,0))),"")</f>
        <v>0</v>
      </c>
      <c r="B352" s="76" t="str">
        <f ca="1">IFERROR(MyTime(INDEX(INDIRECT("input!"&amp;$B$112&amp;":"&amp;$B$112),FirstRowInput+Integration*COUNT($B$114:B351)) )* $B$110,"")</f>
        <v/>
      </c>
      <c r="C352" s="77" t="str">
        <f ca="1">IFERROR(AVERAGE(INDEX(INDIRECT("input!" &amp; $C$112 &amp; ":" &amp; $C$112),FirstRowInput+Integration*COUNT($B$114:B351)):INDEX(INDIRECT("input!" &amp; $C$112 &amp; ":" &amp; $C$112),FirstRowInput+Integration*COUNT($B$114:B351)+Integration-1))*$C$110,"")</f>
        <v/>
      </c>
      <c r="D352" s="77" t="str">
        <f ca="1">IFERROR(AVERAGE(INDEX(INDIRECT("input!" &amp; $D$112 &amp; ":" &amp; $D$112),FirstRowInput+Integration*COUNT($B$114:B351)):INDEX(INDIRECT("input!" &amp; $D$112 &amp; ":" &amp; $D$112),FirstRowInput+Integration*COUNT($B$114:B351)+Integration-1))*$D$110,"")</f>
        <v/>
      </c>
      <c r="E352" s="77" t="str">
        <f ca="1">IFERROR(AVERAGE(INDEX(INDIRECT("input!" &amp; $E$112 &amp; ":" &amp; $E$112),FirstRowInput+Integration*COUNT($B$114:B351)):INDEX(INDIRECT("input!" &amp; $E$112 &amp; ":" &amp; $E$112),FirstRowInput+Integration*COUNT($B$114:B351)+Integration-1))*$E$110,"")</f>
        <v/>
      </c>
      <c r="F352" s="77" t="str">
        <f ca="1">IFERROR(AVERAGE(INDEX(INDIRECT("input!" &amp; $F$112 &amp; ":" &amp; $F$112),FirstRowInput+Integration*COUNT($B$114:B351)):INDEX(INDIRECT("input!" &amp; $F$112 &amp; ":" &amp; $F$112),FirstRowInput+Integration*COUNT($B$114:B351)+Integration-1))*$F$110,"")</f>
        <v/>
      </c>
      <c r="G352" s="77" t="str">
        <f ca="1">IFERROR(AVERAGE(INDEX(INDIRECT("input!" &amp; $G$112 &amp; ":" &amp; $G$112),FirstRowInput+Integration*COUNT($B$114:B351)):INDEX(INDIRECT("input!" &amp; $G$112 &amp; ":" &amp; $G$112),FirstRowInput+Integration*COUNT($B$114:B351)+Integration-1))*$G$110,"")</f>
        <v/>
      </c>
      <c r="H352" s="77" t="str">
        <f ca="1">IFERROR(AVERAGE(INDEX(INDIRECT("input!" &amp; $H$112 &amp; ":" &amp; $H$112),FirstRowInput+Integration*COUNT($B$114:B351)):INDEX(INDIRECT("input!" &amp; $H$112 &amp; ":" &amp; $H$112),FirstRowInput+Integration*COUNT($B$114:B351)+Integration-1))*$H$110,"")</f>
        <v/>
      </c>
      <c r="I352" s="42">
        <v>240</v>
      </c>
      <c r="J352"/>
      <c r="K352"/>
      <c r="L352"/>
      <c r="M352"/>
      <c r="N352"/>
      <c r="O352"/>
      <c r="P352"/>
      <c r="Q352"/>
      <c r="R352"/>
      <c r="S352" s="463"/>
      <c r="T352"/>
      <c r="U352"/>
      <c r="V352"/>
      <c r="W352"/>
      <c r="X352"/>
      <c r="Y352"/>
      <c r="Z352"/>
      <c r="AA352"/>
      <c r="AB352"/>
      <c r="AC352"/>
      <c r="AD352"/>
      <c r="AE352"/>
      <c r="AF352"/>
      <c r="AG352"/>
      <c r="AH352"/>
      <c r="AI352"/>
      <c r="AJ352"/>
      <c r="AK352"/>
      <c r="AL352"/>
      <c r="AM352"/>
      <c r="AN352"/>
    </row>
    <row r="353" spans="1:40" s="14" customFormat="1" ht="15" customHeight="1" x14ac:dyDescent="0.15">
      <c r="A353" s="75">
        <f ca="1">IFERROR(IF(AND(MAX($A$114:A352)&gt;A352+1, MAX($A$114:A352)&gt;20),0,IF(AND(D353="",G353=""),0,IF(OR(D353&gt;LimitSignB10, G353&gt;LimitSignB11),A352+1,0))),"")</f>
        <v>0</v>
      </c>
      <c r="B353" s="76" t="str">
        <f ca="1">IFERROR(MyTime(INDEX(INDIRECT("input!"&amp;$B$112&amp;":"&amp;$B$112),FirstRowInput+Integration*COUNT($B$114:B352)) )* $B$110,"")</f>
        <v/>
      </c>
      <c r="C353" s="77" t="str">
        <f ca="1">IFERROR(AVERAGE(INDEX(INDIRECT("input!" &amp; $C$112 &amp; ":" &amp; $C$112),FirstRowInput+Integration*COUNT($B$114:B352)):INDEX(INDIRECT("input!" &amp; $C$112 &amp; ":" &amp; $C$112),FirstRowInput+Integration*COUNT($B$114:B352)+Integration-1))*$C$110,"")</f>
        <v/>
      </c>
      <c r="D353" s="77" t="str">
        <f ca="1">IFERROR(AVERAGE(INDEX(INDIRECT("input!" &amp; $D$112 &amp; ":" &amp; $D$112),FirstRowInput+Integration*COUNT($B$114:B352)):INDEX(INDIRECT("input!" &amp; $D$112 &amp; ":" &amp; $D$112),FirstRowInput+Integration*COUNT($B$114:B352)+Integration-1))*$D$110,"")</f>
        <v/>
      </c>
      <c r="E353" s="77" t="str">
        <f ca="1">IFERROR(AVERAGE(INDEX(INDIRECT("input!" &amp; $E$112 &amp; ":" &amp; $E$112),FirstRowInput+Integration*COUNT($B$114:B352)):INDEX(INDIRECT("input!" &amp; $E$112 &amp; ":" &amp; $E$112),FirstRowInput+Integration*COUNT($B$114:B352)+Integration-1))*$E$110,"")</f>
        <v/>
      </c>
      <c r="F353" s="77" t="str">
        <f ca="1">IFERROR(AVERAGE(INDEX(INDIRECT("input!" &amp; $F$112 &amp; ":" &amp; $F$112),FirstRowInput+Integration*COUNT($B$114:B352)):INDEX(INDIRECT("input!" &amp; $F$112 &amp; ":" &amp; $F$112),FirstRowInput+Integration*COUNT($B$114:B352)+Integration-1))*$F$110,"")</f>
        <v/>
      </c>
      <c r="G353" s="77" t="str">
        <f ca="1">IFERROR(AVERAGE(INDEX(INDIRECT("input!" &amp; $G$112 &amp; ":" &amp; $G$112),FirstRowInput+Integration*COUNT($B$114:B352)):INDEX(INDIRECT("input!" &amp; $G$112 &amp; ":" &amp; $G$112),FirstRowInput+Integration*COUNT($B$114:B352)+Integration-1))*$G$110,"")</f>
        <v/>
      </c>
      <c r="H353" s="77" t="str">
        <f ca="1">IFERROR(AVERAGE(INDEX(INDIRECT("input!" &amp; $H$112 &amp; ":" &amp; $H$112),FirstRowInput+Integration*COUNT($B$114:B352)):INDEX(INDIRECT("input!" &amp; $H$112 &amp; ":" &amp; $H$112),FirstRowInput+Integration*COUNT($B$114:B352)+Integration-1))*$H$110,"")</f>
        <v/>
      </c>
      <c r="I353" s="42">
        <v>241</v>
      </c>
      <c r="J353"/>
      <c r="K353"/>
      <c r="L353"/>
      <c r="M353"/>
      <c r="N353"/>
      <c r="O353"/>
      <c r="P353"/>
      <c r="Q353"/>
      <c r="R353"/>
      <c r="S353" s="463"/>
      <c r="T353"/>
      <c r="U353"/>
      <c r="V353"/>
      <c r="W353"/>
      <c r="X353"/>
      <c r="Y353"/>
      <c r="Z353"/>
      <c r="AA353"/>
      <c r="AB353"/>
      <c r="AC353"/>
      <c r="AD353"/>
      <c r="AE353"/>
      <c r="AF353"/>
      <c r="AG353"/>
      <c r="AH353"/>
      <c r="AI353"/>
      <c r="AJ353"/>
      <c r="AK353"/>
      <c r="AL353"/>
      <c r="AM353"/>
      <c r="AN353"/>
    </row>
    <row r="354" spans="1:40" s="14" customFormat="1" ht="15" customHeight="1" x14ac:dyDescent="0.15">
      <c r="A354" s="75">
        <f ca="1">IFERROR(IF(AND(MAX($A$114:A353)&gt;A353+1, MAX($A$114:A353)&gt;20),0,IF(AND(D354="",G354=""),0,IF(OR(D354&gt;LimitSignB10, G354&gt;LimitSignB11),A353+1,0))),"")</f>
        <v>0</v>
      </c>
      <c r="B354" s="76" t="str">
        <f ca="1">IFERROR(MyTime(INDEX(INDIRECT("input!"&amp;$B$112&amp;":"&amp;$B$112),FirstRowInput+Integration*COUNT($B$114:B353)) )* $B$110,"")</f>
        <v/>
      </c>
      <c r="C354" s="77" t="str">
        <f ca="1">IFERROR(AVERAGE(INDEX(INDIRECT("input!" &amp; $C$112 &amp; ":" &amp; $C$112),FirstRowInput+Integration*COUNT($B$114:B353)):INDEX(INDIRECT("input!" &amp; $C$112 &amp; ":" &amp; $C$112),FirstRowInput+Integration*COUNT($B$114:B353)+Integration-1))*$C$110,"")</f>
        <v/>
      </c>
      <c r="D354" s="77" t="str">
        <f ca="1">IFERROR(AVERAGE(INDEX(INDIRECT("input!" &amp; $D$112 &amp; ":" &amp; $D$112),FirstRowInput+Integration*COUNT($B$114:B353)):INDEX(INDIRECT("input!" &amp; $D$112 &amp; ":" &amp; $D$112),FirstRowInput+Integration*COUNT($B$114:B353)+Integration-1))*$D$110,"")</f>
        <v/>
      </c>
      <c r="E354" s="77" t="str">
        <f ca="1">IFERROR(AVERAGE(INDEX(INDIRECT("input!" &amp; $E$112 &amp; ":" &amp; $E$112),FirstRowInput+Integration*COUNT($B$114:B353)):INDEX(INDIRECT("input!" &amp; $E$112 &amp; ":" &amp; $E$112),FirstRowInput+Integration*COUNT($B$114:B353)+Integration-1))*$E$110,"")</f>
        <v/>
      </c>
      <c r="F354" s="77" t="str">
        <f ca="1">IFERROR(AVERAGE(INDEX(INDIRECT("input!" &amp; $F$112 &amp; ":" &amp; $F$112),FirstRowInput+Integration*COUNT($B$114:B353)):INDEX(INDIRECT("input!" &amp; $F$112 &amp; ":" &amp; $F$112),FirstRowInput+Integration*COUNT($B$114:B353)+Integration-1))*$F$110,"")</f>
        <v/>
      </c>
      <c r="G354" s="77" t="str">
        <f ca="1">IFERROR(AVERAGE(INDEX(INDIRECT("input!" &amp; $G$112 &amp; ":" &amp; $G$112),FirstRowInput+Integration*COUNT($B$114:B353)):INDEX(INDIRECT("input!" &amp; $G$112 &amp; ":" &amp; $G$112),FirstRowInput+Integration*COUNT($B$114:B353)+Integration-1))*$G$110,"")</f>
        <v/>
      </c>
      <c r="H354" s="77" t="str">
        <f ca="1">IFERROR(AVERAGE(INDEX(INDIRECT("input!" &amp; $H$112 &amp; ":" &amp; $H$112),FirstRowInput+Integration*COUNT($B$114:B353)):INDEX(INDIRECT("input!" &amp; $H$112 &amp; ":" &amp; $H$112),FirstRowInput+Integration*COUNT($B$114:B353)+Integration-1))*$H$110,"")</f>
        <v/>
      </c>
      <c r="I354" s="42">
        <v>242</v>
      </c>
      <c r="J354"/>
      <c r="K354"/>
      <c r="L354"/>
      <c r="M354"/>
      <c r="N354"/>
      <c r="O354"/>
      <c r="P354"/>
      <c r="Q354"/>
      <c r="R354"/>
      <c r="S354" s="463"/>
      <c r="T354"/>
      <c r="U354"/>
      <c r="V354"/>
      <c r="W354"/>
      <c r="X354"/>
      <c r="Y354"/>
      <c r="Z354"/>
      <c r="AA354"/>
      <c r="AB354"/>
      <c r="AC354"/>
      <c r="AD354"/>
      <c r="AE354"/>
      <c r="AF354"/>
      <c r="AG354"/>
      <c r="AH354"/>
      <c r="AI354"/>
      <c r="AJ354"/>
      <c r="AK354"/>
      <c r="AL354"/>
      <c r="AM354"/>
      <c r="AN354"/>
    </row>
    <row r="355" spans="1:40" s="14" customFormat="1" ht="15" customHeight="1" x14ac:dyDescent="0.15">
      <c r="A355" s="75">
        <f ca="1">IFERROR(IF(AND(MAX($A$114:A354)&gt;A354+1, MAX($A$114:A354)&gt;20),0,IF(AND(D355="",G355=""),0,IF(OR(D355&gt;LimitSignB10, G355&gt;LimitSignB11),A354+1,0))),"")</f>
        <v>0</v>
      </c>
      <c r="B355" s="76" t="str">
        <f ca="1">IFERROR(MyTime(INDEX(INDIRECT("input!"&amp;$B$112&amp;":"&amp;$B$112),FirstRowInput+Integration*COUNT($B$114:B354)) )* $B$110,"")</f>
        <v/>
      </c>
      <c r="C355" s="77" t="str">
        <f ca="1">IFERROR(AVERAGE(INDEX(INDIRECT("input!" &amp; $C$112 &amp; ":" &amp; $C$112),FirstRowInput+Integration*COUNT($B$114:B354)):INDEX(INDIRECT("input!" &amp; $C$112 &amp; ":" &amp; $C$112),FirstRowInput+Integration*COUNT($B$114:B354)+Integration-1))*$C$110,"")</f>
        <v/>
      </c>
      <c r="D355" s="77" t="str">
        <f ca="1">IFERROR(AVERAGE(INDEX(INDIRECT("input!" &amp; $D$112 &amp; ":" &amp; $D$112),FirstRowInput+Integration*COUNT($B$114:B354)):INDEX(INDIRECT("input!" &amp; $D$112 &amp; ":" &amp; $D$112),FirstRowInput+Integration*COUNT($B$114:B354)+Integration-1))*$D$110,"")</f>
        <v/>
      </c>
      <c r="E355" s="77" t="str">
        <f ca="1">IFERROR(AVERAGE(INDEX(INDIRECT("input!" &amp; $E$112 &amp; ":" &amp; $E$112),FirstRowInput+Integration*COUNT($B$114:B354)):INDEX(INDIRECT("input!" &amp; $E$112 &amp; ":" &amp; $E$112),FirstRowInput+Integration*COUNT($B$114:B354)+Integration-1))*$E$110,"")</f>
        <v/>
      </c>
      <c r="F355" s="77" t="str">
        <f ca="1">IFERROR(AVERAGE(INDEX(INDIRECT("input!" &amp; $F$112 &amp; ":" &amp; $F$112),FirstRowInput+Integration*COUNT($B$114:B354)):INDEX(INDIRECT("input!" &amp; $F$112 &amp; ":" &amp; $F$112),FirstRowInput+Integration*COUNT($B$114:B354)+Integration-1))*$F$110,"")</f>
        <v/>
      </c>
      <c r="G355" s="77" t="str">
        <f ca="1">IFERROR(AVERAGE(INDEX(INDIRECT("input!" &amp; $G$112 &amp; ":" &amp; $G$112),FirstRowInput+Integration*COUNT($B$114:B354)):INDEX(INDIRECT("input!" &amp; $G$112 &amp; ":" &amp; $G$112),FirstRowInput+Integration*COUNT($B$114:B354)+Integration-1))*$G$110,"")</f>
        <v/>
      </c>
      <c r="H355" s="77" t="str">
        <f ca="1">IFERROR(AVERAGE(INDEX(INDIRECT("input!" &amp; $H$112 &amp; ":" &amp; $H$112),FirstRowInput+Integration*COUNT($B$114:B354)):INDEX(INDIRECT("input!" &amp; $H$112 &amp; ":" &amp; $H$112),FirstRowInput+Integration*COUNT($B$114:B354)+Integration-1))*$H$110,"")</f>
        <v/>
      </c>
      <c r="I355" s="42">
        <v>243</v>
      </c>
      <c r="J355"/>
      <c r="K355"/>
      <c r="L355"/>
      <c r="M355"/>
      <c r="N355"/>
      <c r="O355"/>
      <c r="P355"/>
      <c r="Q355"/>
      <c r="R355"/>
      <c r="S355" s="463"/>
      <c r="T355"/>
      <c r="U355"/>
      <c r="V355"/>
      <c r="W355"/>
      <c r="X355"/>
      <c r="Y355"/>
      <c r="Z355"/>
      <c r="AA355"/>
      <c r="AB355"/>
      <c r="AC355"/>
      <c r="AD355"/>
      <c r="AE355"/>
      <c r="AF355"/>
      <c r="AG355"/>
      <c r="AH355"/>
      <c r="AI355"/>
      <c r="AJ355"/>
      <c r="AK355"/>
      <c r="AL355"/>
      <c r="AM355"/>
      <c r="AN355"/>
    </row>
    <row r="356" spans="1:40" s="14" customFormat="1" ht="15" customHeight="1" x14ac:dyDescent="0.15">
      <c r="A356" s="75">
        <f ca="1">IFERROR(IF(AND(MAX($A$114:A355)&gt;A355+1, MAX($A$114:A355)&gt;20),0,IF(AND(D356="",G356=""),0,IF(OR(D356&gt;LimitSignB10, G356&gt;LimitSignB11),A355+1,0))),"")</f>
        <v>0</v>
      </c>
      <c r="B356" s="76" t="str">
        <f ca="1">IFERROR(MyTime(INDEX(INDIRECT("input!"&amp;$B$112&amp;":"&amp;$B$112),FirstRowInput+Integration*COUNT($B$114:B355)) )* $B$110,"")</f>
        <v/>
      </c>
      <c r="C356" s="77" t="str">
        <f ca="1">IFERROR(AVERAGE(INDEX(INDIRECT("input!" &amp; $C$112 &amp; ":" &amp; $C$112),FirstRowInput+Integration*COUNT($B$114:B355)):INDEX(INDIRECT("input!" &amp; $C$112 &amp; ":" &amp; $C$112),FirstRowInput+Integration*COUNT($B$114:B355)+Integration-1))*$C$110,"")</f>
        <v/>
      </c>
      <c r="D356" s="77" t="str">
        <f ca="1">IFERROR(AVERAGE(INDEX(INDIRECT("input!" &amp; $D$112 &amp; ":" &amp; $D$112),FirstRowInput+Integration*COUNT($B$114:B355)):INDEX(INDIRECT("input!" &amp; $D$112 &amp; ":" &amp; $D$112),FirstRowInput+Integration*COUNT($B$114:B355)+Integration-1))*$D$110,"")</f>
        <v/>
      </c>
      <c r="E356" s="77" t="str">
        <f ca="1">IFERROR(AVERAGE(INDEX(INDIRECT("input!" &amp; $E$112 &amp; ":" &amp; $E$112),FirstRowInput+Integration*COUNT($B$114:B355)):INDEX(INDIRECT("input!" &amp; $E$112 &amp; ":" &amp; $E$112),FirstRowInput+Integration*COUNT($B$114:B355)+Integration-1))*$E$110,"")</f>
        <v/>
      </c>
      <c r="F356" s="77" t="str">
        <f ca="1">IFERROR(AVERAGE(INDEX(INDIRECT("input!" &amp; $F$112 &amp; ":" &amp; $F$112),FirstRowInput+Integration*COUNT($B$114:B355)):INDEX(INDIRECT("input!" &amp; $F$112 &amp; ":" &amp; $F$112),FirstRowInput+Integration*COUNT($B$114:B355)+Integration-1))*$F$110,"")</f>
        <v/>
      </c>
      <c r="G356" s="77" t="str">
        <f ca="1">IFERROR(AVERAGE(INDEX(INDIRECT("input!" &amp; $G$112 &amp; ":" &amp; $G$112),FirstRowInput+Integration*COUNT($B$114:B355)):INDEX(INDIRECT("input!" &amp; $G$112 &amp; ":" &amp; $G$112),FirstRowInput+Integration*COUNT($B$114:B355)+Integration-1))*$G$110,"")</f>
        <v/>
      </c>
      <c r="H356" s="77" t="str">
        <f ca="1">IFERROR(AVERAGE(INDEX(INDIRECT("input!" &amp; $H$112 &amp; ":" &amp; $H$112),FirstRowInput+Integration*COUNT($B$114:B355)):INDEX(INDIRECT("input!" &amp; $H$112 &amp; ":" &amp; $H$112),FirstRowInput+Integration*COUNT($B$114:B355)+Integration-1))*$H$110,"")</f>
        <v/>
      </c>
      <c r="I356" s="42">
        <v>244</v>
      </c>
      <c r="J356"/>
      <c r="K356"/>
      <c r="L356"/>
      <c r="M356"/>
      <c r="N356"/>
      <c r="O356"/>
      <c r="P356"/>
      <c r="Q356"/>
      <c r="R356"/>
      <c r="S356" s="463"/>
      <c r="T356"/>
      <c r="U356"/>
      <c r="V356"/>
      <c r="W356"/>
      <c r="X356"/>
      <c r="Y356"/>
      <c r="Z356"/>
      <c r="AA356"/>
      <c r="AB356"/>
      <c r="AC356"/>
      <c r="AD356"/>
      <c r="AE356"/>
      <c r="AF356"/>
      <c r="AG356"/>
      <c r="AH356"/>
      <c r="AI356"/>
      <c r="AJ356"/>
      <c r="AK356"/>
      <c r="AL356"/>
      <c r="AM356"/>
      <c r="AN356"/>
    </row>
    <row r="357" spans="1:40" s="14" customFormat="1" ht="15" customHeight="1" x14ac:dyDescent="0.15">
      <c r="A357" s="75">
        <f ca="1">IFERROR(IF(AND(MAX($A$114:A356)&gt;A356+1, MAX($A$114:A356)&gt;20),0,IF(AND(D357="",G357=""),0,IF(OR(D357&gt;LimitSignB10, G357&gt;LimitSignB11),A356+1,0))),"")</f>
        <v>0</v>
      </c>
      <c r="B357" s="76" t="str">
        <f ca="1">IFERROR(MyTime(INDEX(INDIRECT("input!"&amp;$B$112&amp;":"&amp;$B$112),FirstRowInput+Integration*COUNT($B$114:B356)) )* $B$110,"")</f>
        <v/>
      </c>
      <c r="C357" s="77" t="str">
        <f ca="1">IFERROR(AVERAGE(INDEX(INDIRECT("input!" &amp; $C$112 &amp; ":" &amp; $C$112),FirstRowInput+Integration*COUNT($B$114:B356)):INDEX(INDIRECT("input!" &amp; $C$112 &amp; ":" &amp; $C$112),FirstRowInput+Integration*COUNT($B$114:B356)+Integration-1))*$C$110,"")</f>
        <v/>
      </c>
      <c r="D357" s="77" t="str">
        <f ca="1">IFERROR(AVERAGE(INDEX(INDIRECT("input!" &amp; $D$112 &amp; ":" &amp; $D$112),FirstRowInput+Integration*COUNT($B$114:B356)):INDEX(INDIRECT("input!" &amp; $D$112 &amp; ":" &amp; $D$112),FirstRowInput+Integration*COUNT($B$114:B356)+Integration-1))*$D$110,"")</f>
        <v/>
      </c>
      <c r="E357" s="77" t="str">
        <f ca="1">IFERROR(AVERAGE(INDEX(INDIRECT("input!" &amp; $E$112 &amp; ":" &amp; $E$112),FirstRowInput+Integration*COUNT($B$114:B356)):INDEX(INDIRECT("input!" &amp; $E$112 &amp; ":" &amp; $E$112),FirstRowInput+Integration*COUNT($B$114:B356)+Integration-1))*$E$110,"")</f>
        <v/>
      </c>
      <c r="F357" s="77" t="str">
        <f ca="1">IFERROR(AVERAGE(INDEX(INDIRECT("input!" &amp; $F$112 &amp; ":" &amp; $F$112),FirstRowInput+Integration*COUNT($B$114:B356)):INDEX(INDIRECT("input!" &amp; $F$112 &amp; ":" &amp; $F$112),FirstRowInput+Integration*COUNT($B$114:B356)+Integration-1))*$F$110,"")</f>
        <v/>
      </c>
      <c r="G357" s="77" t="str">
        <f ca="1">IFERROR(AVERAGE(INDEX(INDIRECT("input!" &amp; $G$112 &amp; ":" &amp; $G$112),FirstRowInput+Integration*COUNT($B$114:B356)):INDEX(INDIRECT("input!" &amp; $G$112 &amp; ":" &amp; $G$112),FirstRowInput+Integration*COUNT($B$114:B356)+Integration-1))*$G$110,"")</f>
        <v/>
      </c>
      <c r="H357" s="77" t="str">
        <f ca="1">IFERROR(AVERAGE(INDEX(INDIRECT("input!" &amp; $H$112 &amp; ":" &amp; $H$112),FirstRowInput+Integration*COUNT($B$114:B356)):INDEX(INDIRECT("input!" &amp; $H$112 &amp; ":" &amp; $H$112),FirstRowInput+Integration*COUNT($B$114:B356)+Integration-1))*$H$110,"")</f>
        <v/>
      </c>
      <c r="I357" s="42">
        <v>245</v>
      </c>
      <c r="J357"/>
      <c r="K357"/>
      <c r="L357"/>
      <c r="M357"/>
      <c r="N357"/>
      <c r="O357"/>
      <c r="P357"/>
      <c r="Q357"/>
      <c r="R357"/>
      <c r="S357" s="463"/>
      <c r="T357"/>
      <c r="U357"/>
      <c r="V357"/>
      <c r="W357"/>
      <c r="X357"/>
      <c r="Y357"/>
      <c r="Z357"/>
      <c r="AA357"/>
      <c r="AB357"/>
      <c r="AC357"/>
      <c r="AD357"/>
      <c r="AE357"/>
      <c r="AF357"/>
      <c r="AG357"/>
      <c r="AH357"/>
      <c r="AI357"/>
      <c r="AJ357"/>
      <c r="AK357"/>
      <c r="AL357"/>
      <c r="AM357"/>
      <c r="AN357"/>
    </row>
    <row r="358" spans="1:40" s="14" customFormat="1" ht="15" customHeight="1" x14ac:dyDescent="0.15">
      <c r="A358" s="75">
        <f ca="1">IFERROR(IF(AND(MAX($A$114:A357)&gt;A357+1, MAX($A$114:A357)&gt;20),0,IF(AND(D358="",G358=""),0,IF(OR(D358&gt;LimitSignB10, G358&gt;LimitSignB11),A357+1,0))),"")</f>
        <v>0</v>
      </c>
      <c r="B358" s="76" t="str">
        <f ca="1">IFERROR(MyTime(INDEX(INDIRECT("input!"&amp;$B$112&amp;":"&amp;$B$112),FirstRowInput+Integration*COUNT($B$114:B357)) )* $B$110,"")</f>
        <v/>
      </c>
      <c r="C358" s="77" t="str">
        <f ca="1">IFERROR(AVERAGE(INDEX(INDIRECT("input!" &amp; $C$112 &amp; ":" &amp; $C$112),FirstRowInput+Integration*COUNT($B$114:B357)):INDEX(INDIRECT("input!" &amp; $C$112 &amp; ":" &amp; $C$112),FirstRowInput+Integration*COUNT($B$114:B357)+Integration-1))*$C$110,"")</f>
        <v/>
      </c>
      <c r="D358" s="77" t="str">
        <f ca="1">IFERROR(AVERAGE(INDEX(INDIRECT("input!" &amp; $D$112 &amp; ":" &amp; $D$112),FirstRowInput+Integration*COUNT($B$114:B357)):INDEX(INDIRECT("input!" &amp; $D$112 &amp; ":" &amp; $D$112),FirstRowInput+Integration*COUNT($B$114:B357)+Integration-1))*$D$110,"")</f>
        <v/>
      </c>
      <c r="E358" s="77" t="str">
        <f ca="1">IFERROR(AVERAGE(INDEX(INDIRECT("input!" &amp; $E$112 &amp; ":" &amp; $E$112),FirstRowInput+Integration*COUNT($B$114:B357)):INDEX(INDIRECT("input!" &amp; $E$112 &amp; ":" &amp; $E$112),FirstRowInput+Integration*COUNT($B$114:B357)+Integration-1))*$E$110,"")</f>
        <v/>
      </c>
      <c r="F358" s="77" t="str">
        <f ca="1">IFERROR(AVERAGE(INDEX(INDIRECT("input!" &amp; $F$112 &amp; ":" &amp; $F$112),FirstRowInput+Integration*COUNT($B$114:B357)):INDEX(INDIRECT("input!" &amp; $F$112 &amp; ":" &amp; $F$112),FirstRowInput+Integration*COUNT($B$114:B357)+Integration-1))*$F$110,"")</f>
        <v/>
      </c>
      <c r="G358" s="77" t="str">
        <f ca="1">IFERROR(AVERAGE(INDEX(INDIRECT("input!" &amp; $G$112 &amp; ":" &amp; $G$112),FirstRowInput+Integration*COUNT($B$114:B357)):INDEX(INDIRECT("input!" &amp; $G$112 &amp; ":" &amp; $G$112),FirstRowInput+Integration*COUNT($B$114:B357)+Integration-1))*$G$110,"")</f>
        <v/>
      </c>
      <c r="H358" s="77" t="str">
        <f ca="1">IFERROR(AVERAGE(INDEX(INDIRECT("input!" &amp; $H$112 &amp; ":" &amp; $H$112),FirstRowInput+Integration*COUNT($B$114:B357)):INDEX(INDIRECT("input!" &amp; $H$112 &amp; ":" &amp; $H$112),FirstRowInput+Integration*COUNT($B$114:B357)+Integration-1))*$H$110,"")</f>
        <v/>
      </c>
      <c r="I358" s="42">
        <v>246</v>
      </c>
      <c r="J358"/>
      <c r="K358"/>
      <c r="L358"/>
      <c r="M358"/>
      <c r="N358"/>
      <c r="O358"/>
      <c r="P358"/>
      <c r="Q358"/>
      <c r="R358"/>
      <c r="S358" s="463"/>
      <c r="T358"/>
      <c r="U358"/>
      <c r="V358"/>
      <c r="W358"/>
      <c r="X358"/>
      <c r="Y358"/>
      <c r="Z358"/>
      <c r="AA358"/>
      <c r="AB358"/>
      <c r="AC358"/>
      <c r="AD358"/>
      <c r="AE358"/>
      <c r="AF358"/>
      <c r="AG358"/>
      <c r="AH358"/>
      <c r="AI358"/>
      <c r="AJ358"/>
      <c r="AK358"/>
      <c r="AL358"/>
      <c r="AM358"/>
      <c r="AN358"/>
    </row>
    <row r="359" spans="1:40" s="14" customFormat="1" ht="15" customHeight="1" x14ac:dyDescent="0.15">
      <c r="A359" s="75">
        <f ca="1">IFERROR(IF(AND(MAX($A$114:A358)&gt;A358+1, MAX($A$114:A358)&gt;20),0,IF(AND(D359="",G359=""),0,IF(OR(D359&gt;LimitSignB10, G359&gt;LimitSignB11),A358+1,0))),"")</f>
        <v>0</v>
      </c>
      <c r="B359" s="76" t="str">
        <f ca="1">IFERROR(MyTime(INDEX(INDIRECT("input!"&amp;$B$112&amp;":"&amp;$B$112),FirstRowInput+Integration*COUNT($B$114:B358)) )* $B$110,"")</f>
        <v/>
      </c>
      <c r="C359" s="77" t="str">
        <f ca="1">IFERROR(AVERAGE(INDEX(INDIRECT("input!" &amp; $C$112 &amp; ":" &amp; $C$112),FirstRowInput+Integration*COUNT($B$114:B358)):INDEX(INDIRECT("input!" &amp; $C$112 &amp; ":" &amp; $C$112),FirstRowInput+Integration*COUNT($B$114:B358)+Integration-1))*$C$110,"")</f>
        <v/>
      </c>
      <c r="D359" s="77" t="str">
        <f ca="1">IFERROR(AVERAGE(INDEX(INDIRECT("input!" &amp; $D$112 &amp; ":" &amp; $D$112),FirstRowInput+Integration*COUNT($B$114:B358)):INDEX(INDIRECT("input!" &amp; $D$112 &amp; ":" &amp; $D$112),FirstRowInput+Integration*COUNT($B$114:B358)+Integration-1))*$D$110,"")</f>
        <v/>
      </c>
      <c r="E359" s="77" t="str">
        <f ca="1">IFERROR(AVERAGE(INDEX(INDIRECT("input!" &amp; $E$112 &amp; ":" &amp; $E$112),FirstRowInput+Integration*COUNT($B$114:B358)):INDEX(INDIRECT("input!" &amp; $E$112 &amp; ":" &amp; $E$112),FirstRowInput+Integration*COUNT($B$114:B358)+Integration-1))*$E$110,"")</f>
        <v/>
      </c>
      <c r="F359" s="77" t="str">
        <f ca="1">IFERROR(AVERAGE(INDEX(INDIRECT("input!" &amp; $F$112 &amp; ":" &amp; $F$112),FirstRowInput+Integration*COUNT($B$114:B358)):INDEX(INDIRECT("input!" &amp; $F$112 &amp; ":" &amp; $F$112),FirstRowInput+Integration*COUNT($B$114:B358)+Integration-1))*$F$110,"")</f>
        <v/>
      </c>
      <c r="G359" s="77" t="str">
        <f ca="1">IFERROR(AVERAGE(INDEX(INDIRECT("input!" &amp; $G$112 &amp; ":" &amp; $G$112),FirstRowInput+Integration*COUNT($B$114:B358)):INDEX(INDIRECT("input!" &amp; $G$112 &amp; ":" &amp; $G$112),FirstRowInput+Integration*COUNT($B$114:B358)+Integration-1))*$G$110,"")</f>
        <v/>
      </c>
      <c r="H359" s="77" t="str">
        <f ca="1">IFERROR(AVERAGE(INDEX(INDIRECT("input!" &amp; $H$112 &amp; ":" &amp; $H$112),FirstRowInput+Integration*COUNT($B$114:B358)):INDEX(INDIRECT("input!" &amp; $H$112 &amp; ":" &amp; $H$112),FirstRowInput+Integration*COUNT($B$114:B358)+Integration-1))*$H$110,"")</f>
        <v/>
      </c>
      <c r="I359" s="42">
        <v>247</v>
      </c>
      <c r="J359"/>
      <c r="K359"/>
      <c r="L359"/>
      <c r="M359"/>
      <c r="N359"/>
      <c r="O359"/>
      <c r="P359"/>
      <c r="Q359"/>
      <c r="R359"/>
      <c r="S359" s="463"/>
      <c r="T359"/>
      <c r="U359"/>
      <c r="V359"/>
      <c r="W359"/>
      <c r="X359"/>
      <c r="Y359"/>
      <c r="Z359"/>
      <c r="AA359"/>
      <c r="AB359"/>
      <c r="AC359"/>
      <c r="AD359"/>
      <c r="AE359"/>
      <c r="AF359"/>
      <c r="AG359"/>
      <c r="AH359"/>
      <c r="AI359"/>
      <c r="AJ359"/>
      <c r="AK359"/>
      <c r="AL359"/>
      <c r="AM359"/>
      <c r="AN359"/>
    </row>
    <row r="360" spans="1:40" s="14" customFormat="1" ht="15" customHeight="1" x14ac:dyDescent="0.15">
      <c r="A360" s="75">
        <f ca="1">IFERROR(IF(AND(MAX($A$114:A359)&gt;A359+1, MAX($A$114:A359)&gt;20),0,IF(AND(D360="",G360=""),0,IF(OR(D360&gt;LimitSignB10, G360&gt;LimitSignB11),A359+1,0))),"")</f>
        <v>0</v>
      </c>
      <c r="B360" s="76" t="str">
        <f ca="1">IFERROR(MyTime(INDEX(INDIRECT("input!"&amp;$B$112&amp;":"&amp;$B$112),FirstRowInput+Integration*COUNT($B$114:B359)) )* $B$110,"")</f>
        <v/>
      </c>
      <c r="C360" s="77" t="str">
        <f ca="1">IFERROR(AVERAGE(INDEX(INDIRECT("input!" &amp; $C$112 &amp; ":" &amp; $C$112),FirstRowInput+Integration*COUNT($B$114:B359)):INDEX(INDIRECT("input!" &amp; $C$112 &amp; ":" &amp; $C$112),FirstRowInput+Integration*COUNT($B$114:B359)+Integration-1))*$C$110,"")</f>
        <v/>
      </c>
      <c r="D360" s="77" t="str">
        <f ca="1">IFERROR(AVERAGE(INDEX(INDIRECT("input!" &amp; $D$112 &amp; ":" &amp; $D$112),FirstRowInput+Integration*COUNT($B$114:B359)):INDEX(INDIRECT("input!" &amp; $D$112 &amp; ":" &amp; $D$112),FirstRowInput+Integration*COUNT($B$114:B359)+Integration-1))*$D$110,"")</f>
        <v/>
      </c>
      <c r="E360" s="77" t="str">
        <f ca="1">IFERROR(AVERAGE(INDEX(INDIRECT("input!" &amp; $E$112 &amp; ":" &amp; $E$112),FirstRowInput+Integration*COUNT($B$114:B359)):INDEX(INDIRECT("input!" &amp; $E$112 &amp; ":" &amp; $E$112),FirstRowInput+Integration*COUNT($B$114:B359)+Integration-1))*$E$110,"")</f>
        <v/>
      </c>
      <c r="F360" s="77" t="str">
        <f ca="1">IFERROR(AVERAGE(INDEX(INDIRECT("input!" &amp; $F$112 &amp; ":" &amp; $F$112),FirstRowInput+Integration*COUNT($B$114:B359)):INDEX(INDIRECT("input!" &amp; $F$112 &amp; ":" &amp; $F$112),FirstRowInput+Integration*COUNT($B$114:B359)+Integration-1))*$F$110,"")</f>
        <v/>
      </c>
      <c r="G360" s="77" t="str">
        <f ca="1">IFERROR(AVERAGE(INDEX(INDIRECT("input!" &amp; $G$112 &amp; ":" &amp; $G$112),FirstRowInput+Integration*COUNT($B$114:B359)):INDEX(INDIRECT("input!" &amp; $G$112 &amp; ":" &amp; $G$112),FirstRowInput+Integration*COUNT($B$114:B359)+Integration-1))*$G$110,"")</f>
        <v/>
      </c>
      <c r="H360" s="77" t="str">
        <f ca="1">IFERROR(AVERAGE(INDEX(INDIRECT("input!" &amp; $H$112 &amp; ":" &amp; $H$112),FirstRowInput+Integration*COUNT($B$114:B359)):INDEX(INDIRECT("input!" &amp; $H$112 &amp; ":" &amp; $H$112),FirstRowInput+Integration*COUNT($B$114:B359)+Integration-1))*$H$110,"")</f>
        <v/>
      </c>
      <c r="I360" s="42">
        <v>248</v>
      </c>
      <c r="J360"/>
      <c r="K360"/>
      <c r="L360"/>
      <c r="M360"/>
      <c r="N360"/>
      <c r="O360"/>
      <c r="P360"/>
      <c r="Q360"/>
      <c r="R360"/>
      <c r="S360" s="463"/>
      <c r="T360"/>
      <c r="U360"/>
      <c r="V360"/>
      <c r="W360"/>
      <c r="X360"/>
      <c r="Y360"/>
      <c r="Z360"/>
      <c r="AA360"/>
      <c r="AB360"/>
      <c r="AC360"/>
      <c r="AD360"/>
      <c r="AE360"/>
      <c r="AF360"/>
      <c r="AG360"/>
      <c r="AH360"/>
      <c r="AI360"/>
      <c r="AJ360"/>
      <c r="AK360"/>
      <c r="AL360"/>
      <c r="AM360"/>
      <c r="AN360"/>
    </row>
    <row r="361" spans="1:40" s="14" customFormat="1" ht="15" customHeight="1" x14ac:dyDescent="0.15">
      <c r="A361" s="75">
        <f ca="1">IFERROR(IF(AND(MAX($A$114:A360)&gt;A360+1, MAX($A$114:A360)&gt;20),0,IF(AND(D361="",G361=""),0,IF(OR(D361&gt;LimitSignB10, G361&gt;LimitSignB11),A360+1,0))),"")</f>
        <v>0</v>
      </c>
      <c r="B361" s="76" t="str">
        <f ca="1">IFERROR(MyTime(INDEX(INDIRECT("input!"&amp;$B$112&amp;":"&amp;$B$112),FirstRowInput+Integration*COUNT($B$114:B360)) )* $B$110,"")</f>
        <v/>
      </c>
      <c r="C361" s="77" t="str">
        <f ca="1">IFERROR(AVERAGE(INDEX(INDIRECT("input!" &amp; $C$112 &amp; ":" &amp; $C$112),FirstRowInput+Integration*COUNT($B$114:B360)):INDEX(INDIRECT("input!" &amp; $C$112 &amp; ":" &amp; $C$112),FirstRowInput+Integration*COUNT($B$114:B360)+Integration-1))*$C$110,"")</f>
        <v/>
      </c>
      <c r="D361" s="77" t="str">
        <f ca="1">IFERROR(AVERAGE(INDEX(INDIRECT("input!" &amp; $D$112 &amp; ":" &amp; $D$112),FirstRowInput+Integration*COUNT($B$114:B360)):INDEX(INDIRECT("input!" &amp; $D$112 &amp; ":" &amp; $D$112),FirstRowInput+Integration*COUNT($B$114:B360)+Integration-1))*$D$110,"")</f>
        <v/>
      </c>
      <c r="E361" s="77" t="str">
        <f ca="1">IFERROR(AVERAGE(INDEX(INDIRECT("input!" &amp; $E$112 &amp; ":" &amp; $E$112),FirstRowInput+Integration*COUNT($B$114:B360)):INDEX(INDIRECT("input!" &amp; $E$112 &amp; ":" &amp; $E$112),FirstRowInput+Integration*COUNT($B$114:B360)+Integration-1))*$E$110,"")</f>
        <v/>
      </c>
      <c r="F361" s="77" t="str">
        <f ca="1">IFERROR(AVERAGE(INDEX(INDIRECT("input!" &amp; $F$112 &amp; ":" &amp; $F$112),FirstRowInput+Integration*COUNT($B$114:B360)):INDEX(INDIRECT("input!" &amp; $F$112 &amp; ":" &amp; $F$112),FirstRowInput+Integration*COUNT($B$114:B360)+Integration-1))*$F$110,"")</f>
        <v/>
      </c>
      <c r="G361" s="77" t="str">
        <f ca="1">IFERROR(AVERAGE(INDEX(INDIRECT("input!" &amp; $G$112 &amp; ":" &amp; $G$112),FirstRowInput+Integration*COUNT($B$114:B360)):INDEX(INDIRECT("input!" &amp; $G$112 &amp; ":" &amp; $G$112),FirstRowInput+Integration*COUNT($B$114:B360)+Integration-1))*$G$110,"")</f>
        <v/>
      </c>
      <c r="H361" s="77" t="str">
        <f ca="1">IFERROR(AVERAGE(INDEX(INDIRECT("input!" &amp; $H$112 &amp; ":" &amp; $H$112),FirstRowInput+Integration*COUNT($B$114:B360)):INDEX(INDIRECT("input!" &amp; $H$112 &amp; ":" &amp; $H$112),FirstRowInput+Integration*COUNT($B$114:B360)+Integration-1))*$H$110,"")</f>
        <v/>
      </c>
      <c r="I361" s="42">
        <v>249</v>
      </c>
      <c r="J361"/>
      <c r="K361"/>
      <c r="L361"/>
      <c r="M361"/>
      <c r="N361"/>
      <c r="O361"/>
      <c r="P361"/>
      <c r="Q361"/>
      <c r="R361"/>
      <c r="S361" s="463"/>
      <c r="T361"/>
      <c r="U361"/>
      <c r="V361"/>
      <c r="W361"/>
      <c r="X361"/>
      <c r="Y361"/>
      <c r="Z361"/>
      <c r="AA361"/>
      <c r="AB361"/>
      <c r="AC361"/>
      <c r="AD361"/>
      <c r="AE361"/>
      <c r="AF361"/>
      <c r="AG361"/>
      <c r="AH361"/>
      <c r="AI361"/>
      <c r="AJ361"/>
      <c r="AK361"/>
      <c r="AL361"/>
      <c r="AM361"/>
      <c r="AN361"/>
    </row>
    <row r="362" spans="1:40" s="14" customFormat="1" ht="15" customHeight="1" x14ac:dyDescent="0.15">
      <c r="A362" s="75">
        <f ca="1">IFERROR(IF(AND(MAX($A$114:A361)&gt;A361+1, MAX($A$114:A361)&gt;20),0,IF(AND(D362="",G362=""),0,IF(OR(D362&gt;LimitSignB10, G362&gt;LimitSignB11),A361+1,0))),"")</f>
        <v>0</v>
      </c>
      <c r="B362" s="76" t="str">
        <f ca="1">IFERROR(MyTime(INDEX(INDIRECT("input!"&amp;$B$112&amp;":"&amp;$B$112),FirstRowInput+Integration*COUNT($B$114:B361)) )* $B$110,"")</f>
        <v/>
      </c>
      <c r="C362" s="77" t="str">
        <f ca="1">IFERROR(AVERAGE(INDEX(INDIRECT("input!" &amp; $C$112 &amp; ":" &amp; $C$112),FirstRowInput+Integration*COUNT($B$114:B361)):INDEX(INDIRECT("input!" &amp; $C$112 &amp; ":" &amp; $C$112),FirstRowInput+Integration*COUNT($B$114:B361)+Integration-1))*$C$110,"")</f>
        <v/>
      </c>
      <c r="D362" s="77" t="str">
        <f ca="1">IFERROR(AVERAGE(INDEX(INDIRECT("input!" &amp; $D$112 &amp; ":" &amp; $D$112),FirstRowInput+Integration*COUNT($B$114:B361)):INDEX(INDIRECT("input!" &amp; $D$112 &amp; ":" &amp; $D$112),FirstRowInput+Integration*COUNT($B$114:B361)+Integration-1))*$D$110,"")</f>
        <v/>
      </c>
      <c r="E362" s="77" t="str">
        <f ca="1">IFERROR(AVERAGE(INDEX(INDIRECT("input!" &amp; $E$112 &amp; ":" &amp; $E$112),FirstRowInput+Integration*COUNT($B$114:B361)):INDEX(INDIRECT("input!" &amp; $E$112 &amp; ":" &amp; $E$112),FirstRowInput+Integration*COUNT($B$114:B361)+Integration-1))*$E$110,"")</f>
        <v/>
      </c>
      <c r="F362" s="77" t="str">
        <f ca="1">IFERROR(AVERAGE(INDEX(INDIRECT("input!" &amp; $F$112 &amp; ":" &amp; $F$112),FirstRowInput+Integration*COUNT($B$114:B361)):INDEX(INDIRECT("input!" &amp; $F$112 &amp; ":" &amp; $F$112),FirstRowInput+Integration*COUNT($B$114:B361)+Integration-1))*$F$110,"")</f>
        <v/>
      </c>
      <c r="G362" s="77" t="str">
        <f ca="1">IFERROR(AVERAGE(INDEX(INDIRECT("input!" &amp; $G$112 &amp; ":" &amp; $G$112),FirstRowInput+Integration*COUNT($B$114:B361)):INDEX(INDIRECT("input!" &amp; $G$112 &amp; ":" &amp; $G$112),FirstRowInput+Integration*COUNT($B$114:B361)+Integration-1))*$G$110,"")</f>
        <v/>
      </c>
      <c r="H362" s="77" t="str">
        <f ca="1">IFERROR(AVERAGE(INDEX(INDIRECT("input!" &amp; $H$112 &amp; ":" &amp; $H$112),FirstRowInput+Integration*COUNT($B$114:B361)):INDEX(INDIRECT("input!" &amp; $H$112 &amp; ":" &amp; $H$112),FirstRowInput+Integration*COUNT($B$114:B361)+Integration-1))*$H$110,"")</f>
        <v/>
      </c>
      <c r="I362" s="42">
        <v>250</v>
      </c>
      <c r="J362"/>
      <c r="K362"/>
      <c r="L362"/>
      <c r="M362"/>
      <c r="N362"/>
      <c r="O362"/>
      <c r="P362"/>
      <c r="Q362"/>
      <c r="R362"/>
      <c r="S362" s="463"/>
      <c r="T362"/>
      <c r="U362"/>
      <c r="V362"/>
      <c r="W362"/>
      <c r="X362"/>
      <c r="Y362"/>
      <c r="Z362"/>
      <c r="AA362"/>
      <c r="AB362"/>
      <c r="AC362"/>
      <c r="AD362"/>
      <c r="AE362"/>
      <c r="AF362"/>
      <c r="AG362"/>
      <c r="AH362"/>
      <c r="AI362"/>
      <c r="AJ362"/>
      <c r="AK362"/>
      <c r="AL362"/>
      <c r="AM362"/>
      <c r="AN362"/>
    </row>
    <row r="363" spans="1:40" s="14" customFormat="1" ht="15" customHeight="1" x14ac:dyDescent="0.15">
      <c r="A363" s="75">
        <f ca="1">IFERROR(IF(AND(MAX($A$114:A362)&gt;A362+1, MAX($A$114:A362)&gt;20),0,IF(AND(D363="",G363=""),0,IF(OR(D363&gt;LimitSignB10, G363&gt;LimitSignB11),A362+1,0))),"")</f>
        <v>0</v>
      </c>
      <c r="B363" s="76" t="str">
        <f ca="1">IFERROR(MyTime(INDEX(INDIRECT("input!"&amp;$B$112&amp;":"&amp;$B$112),FirstRowInput+Integration*COUNT($B$114:B362)) )* $B$110,"")</f>
        <v/>
      </c>
      <c r="C363" s="77" t="str">
        <f ca="1">IFERROR(AVERAGE(INDEX(INDIRECT("input!" &amp; $C$112 &amp; ":" &amp; $C$112),FirstRowInput+Integration*COUNT($B$114:B362)):INDEX(INDIRECT("input!" &amp; $C$112 &amp; ":" &amp; $C$112),FirstRowInput+Integration*COUNT($B$114:B362)+Integration-1))*$C$110,"")</f>
        <v/>
      </c>
      <c r="D363" s="77" t="str">
        <f ca="1">IFERROR(AVERAGE(INDEX(INDIRECT("input!" &amp; $D$112 &amp; ":" &amp; $D$112),FirstRowInput+Integration*COUNT($B$114:B362)):INDEX(INDIRECT("input!" &amp; $D$112 &amp; ":" &amp; $D$112),FirstRowInput+Integration*COUNT($B$114:B362)+Integration-1))*$D$110,"")</f>
        <v/>
      </c>
      <c r="E363" s="77" t="str">
        <f ca="1">IFERROR(AVERAGE(INDEX(INDIRECT("input!" &amp; $E$112 &amp; ":" &amp; $E$112),FirstRowInput+Integration*COUNT($B$114:B362)):INDEX(INDIRECT("input!" &amp; $E$112 &amp; ":" &amp; $E$112),FirstRowInput+Integration*COUNT($B$114:B362)+Integration-1))*$E$110,"")</f>
        <v/>
      </c>
      <c r="F363" s="77" t="str">
        <f ca="1">IFERROR(AVERAGE(INDEX(INDIRECT("input!" &amp; $F$112 &amp; ":" &amp; $F$112),FirstRowInput+Integration*COUNT($B$114:B362)):INDEX(INDIRECT("input!" &amp; $F$112 &amp; ":" &amp; $F$112),FirstRowInput+Integration*COUNT($B$114:B362)+Integration-1))*$F$110,"")</f>
        <v/>
      </c>
      <c r="G363" s="77" t="str">
        <f ca="1">IFERROR(AVERAGE(INDEX(INDIRECT("input!" &amp; $G$112 &amp; ":" &amp; $G$112),FirstRowInput+Integration*COUNT($B$114:B362)):INDEX(INDIRECT("input!" &amp; $G$112 &amp; ":" &amp; $G$112),FirstRowInput+Integration*COUNT($B$114:B362)+Integration-1))*$G$110,"")</f>
        <v/>
      </c>
      <c r="H363" s="77" t="str">
        <f ca="1">IFERROR(AVERAGE(INDEX(INDIRECT("input!" &amp; $H$112 &amp; ":" &amp; $H$112),FirstRowInput+Integration*COUNT($B$114:B362)):INDEX(INDIRECT("input!" &amp; $H$112 &amp; ":" &amp; $H$112),FirstRowInput+Integration*COUNT($B$114:B362)+Integration-1))*$H$110,"")</f>
        <v/>
      </c>
      <c r="I363" s="42">
        <v>251</v>
      </c>
      <c r="J363"/>
      <c r="K363"/>
      <c r="L363"/>
      <c r="M363"/>
      <c r="N363"/>
      <c r="O363"/>
      <c r="P363"/>
      <c r="Q363"/>
      <c r="R363"/>
      <c r="S363" s="463"/>
      <c r="T363"/>
      <c r="U363"/>
      <c r="V363"/>
      <c r="W363"/>
      <c r="X363"/>
      <c r="Y363"/>
      <c r="Z363"/>
      <c r="AA363"/>
      <c r="AB363"/>
      <c r="AC363"/>
      <c r="AD363"/>
      <c r="AE363"/>
      <c r="AF363"/>
      <c r="AG363"/>
      <c r="AH363"/>
      <c r="AI363"/>
      <c r="AJ363"/>
      <c r="AK363"/>
      <c r="AL363"/>
      <c r="AM363"/>
      <c r="AN363"/>
    </row>
    <row r="364" spans="1:40" s="14" customFormat="1" ht="15" customHeight="1" x14ac:dyDescent="0.15">
      <c r="A364" s="75">
        <f ca="1">IFERROR(IF(AND(MAX($A$114:A363)&gt;A363+1, MAX($A$114:A363)&gt;20),0,IF(AND(D364="",G364=""),0,IF(OR(D364&gt;LimitSignB10, G364&gt;LimitSignB11),A363+1,0))),"")</f>
        <v>0</v>
      </c>
      <c r="B364" s="76" t="str">
        <f ca="1">IFERROR(MyTime(INDEX(INDIRECT("input!"&amp;$B$112&amp;":"&amp;$B$112),FirstRowInput+Integration*COUNT($B$114:B363)) )* $B$110,"")</f>
        <v/>
      </c>
      <c r="C364" s="77" t="str">
        <f ca="1">IFERROR(AVERAGE(INDEX(INDIRECT("input!" &amp; $C$112 &amp; ":" &amp; $C$112),FirstRowInput+Integration*COUNT($B$114:B363)):INDEX(INDIRECT("input!" &amp; $C$112 &amp; ":" &amp; $C$112),FirstRowInput+Integration*COUNT($B$114:B363)+Integration-1))*$C$110,"")</f>
        <v/>
      </c>
      <c r="D364" s="77" t="str">
        <f ca="1">IFERROR(AVERAGE(INDEX(INDIRECT("input!" &amp; $D$112 &amp; ":" &amp; $D$112),FirstRowInput+Integration*COUNT($B$114:B363)):INDEX(INDIRECT("input!" &amp; $D$112 &amp; ":" &amp; $D$112),FirstRowInput+Integration*COUNT($B$114:B363)+Integration-1))*$D$110,"")</f>
        <v/>
      </c>
      <c r="E364" s="77" t="str">
        <f ca="1">IFERROR(AVERAGE(INDEX(INDIRECT("input!" &amp; $E$112 &amp; ":" &amp; $E$112),FirstRowInput+Integration*COUNT($B$114:B363)):INDEX(INDIRECT("input!" &amp; $E$112 &amp; ":" &amp; $E$112),FirstRowInput+Integration*COUNT($B$114:B363)+Integration-1))*$E$110,"")</f>
        <v/>
      </c>
      <c r="F364" s="77" t="str">
        <f ca="1">IFERROR(AVERAGE(INDEX(INDIRECT("input!" &amp; $F$112 &amp; ":" &amp; $F$112),FirstRowInput+Integration*COUNT($B$114:B363)):INDEX(INDIRECT("input!" &amp; $F$112 &amp; ":" &amp; $F$112),FirstRowInput+Integration*COUNT($B$114:B363)+Integration-1))*$F$110,"")</f>
        <v/>
      </c>
      <c r="G364" s="77" t="str">
        <f ca="1">IFERROR(AVERAGE(INDEX(INDIRECT("input!" &amp; $G$112 &amp; ":" &amp; $G$112),FirstRowInput+Integration*COUNT($B$114:B363)):INDEX(INDIRECT("input!" &amp; $G$112 &amp; ":" &amp; $G$112),FirstRowInput+Integration*COUNT($B$114:B363)+Integration-1))*$G$110,"")</f>
        <v/>
      </c>
      <c r="H364" s="77" t="str">
        <f ca="1">IFERROR(AVERAGE(INDEX(INDIRECT("input!" &amp; $H$112 &amp; ":" &amp; $H$112),FirstRowInput+Integration*COUNT($B$114:B363)):INDEX(INDIRECT("input!" &amp; $H$112 &amp; ":" &amp; $H$112),FirstRowInput+Integration*COUNT($B$114:B363)+Integration-1))*$H$110,"")</f>
        <v/>
      </c>
      <c r="I364" s="42">
        <v>252</v>
      </c>
      <c r="J364"/>
      <c r="K364"/>
      <c r="L364"/>
      <c r="M364"/>
      <c r="N364"/>
      <c r="O364"/>
      <c r="P364"/>
      <c r="Q364"/>
      <c r="R364"/>
      <c r="S364" s="463"/>
      <c r="T364"/>
      <c r="U364"/>
      <c r="V364"/>
      <c r="W364"/>
      <c r="X364"/>
      <c r="Y364"/>
      <c r="Z364"/>
      <c r="AA364"/>
      <c r="AB364"/>
      <c r="AC364"/>
      <c r="AD364"/>
      <c r="AE364"/>
      <c r="AF364"/>
      <c r="AG364"/>
      <c r="AH364"/>
      <c r="AI364"/>
      <c r="AJ364"/>
      <c r="AK364"/>
      <c r="AL364"/>
      <c r="AM364"/>
      <c r="AN364"/>
    </row>
    <row r="365" spans="1:40" s="14" customFormat="1" x14ac:dyDescent="0.15">
      <c r="A365" s="75">
        <f ca="1">IFERROR(IF(AND(MAX($A$114:A364)&gt;A364+1, MAX($A$114:A364)&gt;20),0,IF(AND(D365="",G365=""),0,IF(OR(D365&gt;LimitSignB10, G365&gt;LimitSignB11),A364+1,0))),"")</f>
        <v>0</v>
      </c>
      <c r="B365" s="76" t="str">
        <f ca="1">IFERROR(MyTime(INDEX(INDIRECT("input!"&amp;$B$112&amp;":"&amp;$B$112),FirstRowInput+Integration*COUNT($B$114:B364)) )* $B$110,"")</f>
        <v/>
      </c>
      <c r="C365" s="77" t="str">
        <f ca="1">IFERROR(AVERAGE(INDEX(INDIRECT("input!" &amp; $C$112 &amp; ":" &amp; $C$112),FirstRowInput+Integration*COUNT($B$114:B364)):INDEX(INDIRECT("input!" &amp; $C$112 &amp; ":" &amp; $C$112),FirstRowInput+Integration*COUNT($B$114:B364)+Integration-1))*$C$110,"")</f>
        <v/>
      </c>
      <c r="D365" s="77" t="str">
        <f ca="1">IFERROR(AVERAGE(INDEX(INDIRECT("input!" &amp; $D$112 &amp; ":" &amp; $D$112),FirstRowInput+Integration*COUNT($B$114:B364)):INDEX(INDIRECT("input!" &amp; $D$112 &amp; ":" &amp; $D$112),FirstRowInput+Integration*COUNT($B$114:B364)+Integration-1))*$D$110,"")</f>
        <v/>
      </c>
      <c r="E365" s="77" t="str">
        <f ca="1">IFERROR(AVERAGE(INDEX(INDIRECT("input!" &amp; $E$112 &amp; ":" &amp; $E$112),FirstRowInput+Integration*COUNT($B$114:B364)):INDEX(INDIRECT("input!" &amp; $E$112 &amp; ":" &amp; $E$112),FirstRowInput+Integration*COUNT($B$114:B364)+Integration-1))*$E$110,"")</f>
        <v/>
      </c>
      <c r="F365" s="77" t="str">
        <f ca="1">IFERROR(AVERAGE(INDEX(INDIRECT("input!" &amp; $F$112 &amp; ":" &amp; $F$112),FirstRowInput+Integration*COUNT($B$114:B364)):INDEX(INDIRECT("input!" &amp; $F$112 &amp; ":" &amp; $F$112),FirstRowInput+Integration*COUNT($B$114:B364)+Integration-1))*$F$110,"")</f>
        <v/>
      </c>
      <c r="G365" s="77" t="str">
        <f ca="1">IFERROR(AVERAGE(INDEX(INDIRECT("input!" &amp; $G$112 &amp; ":" &amp; $G$112),FirstRowInput+Integration*COUNT($B$114:B364)):INDEX(INDIRECT("input!" &amp; $G$112 &amp; ":" &amp; $G$112),FirstRowInput+Integration*COUNT($B$114:B364)+Integration-1))*$G$110,"")</f>
        <v/>
      </c>
      <c r="H365" s="77" t="str">
        <f ca="1">IFERROR(AVERAGE(INDEX(INDIRECT("input!" &amp; $H$112 &amp; ":" &amp; $H$112),FirstRowInput+Integration*COUNT($B$114:B364)):INDEX(INDIRECT("input!" &amp; $H$112 &amp; ":" &amp; $H$112),FirstRowInput+Integration*COUNT($B$114:B364)+Integration-1))*$H$110,"")</f>
        <v/>
      </c>
      <c r="I365" s="42">
        <v>253</v>
      </c>
      <c r="J365"/>
      <c r="K365"/>
      <c r="L365"/>
      <c r="M365"/>
      <c r="N365"/>
      <c r="O365"/>
      <c r="P365"/>
      <c r="Q365"/>
      <c r="R365"/>
      <c r="S365" s="463"/>
      <c r="T365"/>
      <c r="U365"/>
      <c r="V365"/>
      <c r="W365"/>
      <c r="X365"/>
      <c r="Y365"/>
      <c r="Z365"/>
      <c r="AA365"/>
      <c r="AB365"/>
      <c r="AC365"/>
      <c r="AD365"/>
      <c r="AE365"/>
      <c r="AF365"/>
      <c r="AG365"/>
      <c r="AH365"/>
      <c r="AI365"/>
      <c r="AJ365"/>
      <c r="AK365"/>
      <c r="AL365"/>
      <c r="AM365"/>
      <c r="AN365"/>
    </row>
    <row r="366" spans="1:40" s="14" customFormat="1" x14ac:dyDescent="0.15">
      <c r="A366" s="75">
        <f ca="1">IFERROR(IF(AND(MAX($A$114:A365)&gt;A365+1, MAX($A$114:A365)&gt;20),0,IF(AND(D366="",G366=""),0,IF(OR(D366&gt;LimitSignB10, G366&gt;LimitSignB11),A365+1,0))),"")</f>
        <v>0</v>
      </c>
      <c r="B366" s="76" t="str">
        <f ca="1">IFERROR(MyTime(INDEX(INDIRECT("input!"&amp;$B$112&amp;":"&amp;$B$112),FirstRowInput+Integration*COUNT($B$114:B365)) )* $B$110,"")</f>
        <v/>
      </c>
      <c r="C366" s="77" t="str">
        <f ca="1">IFERROR(AVERAGE(INDEX(INDIRECT("input!" &amp; $C$112 &amp; ":" &amp; $C$112),FirstRowInput+Integration*COUNT($B$114:B365)):INDEX(INDIRECT("input!" &amp; $C$112 &amp; ":" &amp; $C$112),FirstRowInput+Integration*COUNT($B$114:B365)+Integration-1))*$C$110,"")</f>
        <v/>
      </c>
      <c r="D366" s="77" t="str">
        <f ca="1">IFERROR(AVERAGE(INDEX(INDIRECT("input!" &amp; $D$112 &amp; ":" &amp; $D$112),FirstRowInput+Integration*COUNT($B$114:B365)):INDEX(INDIRECT("input!" &amp; $D$112 &amp; ":" &amp; $D$112),FirstRowInput+Integration*COUNT($B$114:B365)+Integration-1))*$D$110,"")</f>
        <v/>
      </c>
      <c r="E366" s="77" t="str">
        <f ca="1">IFERROR(AVERAGE(INDEX(INDIRECT("input!" &amp; $E$112 &amp; ":" &amp; $E$112),FirstRowInput+Integration*COUNT($B$114:B365)):INDEX(INDIRECT("input!" &amp; $E$112 &amp; ":" &amp; $E$112),FirstRowInput+Integration*COUNT($B$114:B365)+Integration-1))*$E$110,"")</f>
        <v/>
      </c>
      <c r="F366" s="77" t="str">
        <f ca="1">IFERROR(AVERAGE(INDEX(INDIRECT("input!" &amp; $F$112 &amp; ":" &amp; $F$112),FirstRowInput+Integration*COUNT($B$114:B365)):INDEX(INDIRECT("input!" &amp; $F$112 &amp; ":" &amp; $F$112),FirstRowInput+Integration*COUNT($B$114:B365)+Integration-1))*$F$110,"")</f>
        <v/>
      </c>
      <c r="G366" s="77" t="str">
        <f ca="1">IFERROR(AVERAGE(INDEX(INDIRECT("input!" &amp; $G$112 &amp; ":" &amp; $G$112),FirstRowInput+Integration*COUNT($B$114:B365)):INDEX(INDIRECT("input!" &amp; $G$112 &amp; ":" &amp; $G$112),FirstRowInput+Integration*COUNT($B$114:B365)+Integration-1))*$G$110,"")</f>
        <v/>
      </c>
      <c r="H366" s="77" t="str">
        <f ca="1">IFERROR(AVERAGE(INDEX(INDIRECT("input!" &amp; $H$112 &amp; ":" &amp; $H$112),FirstRowInput+Integration*COUNT($B$114:B365)):INDEX(INDIRECT("input!" &amp; $H$112 &amp; ":" &amp; $H$112),FirstRowInput+Integration*COUNT($B$114:B365)+Integration-1))*$H$110,"")</f>
        <v/>
      </c>
      <c r="I366" s="42">
        <v>254</v>
      </c>
      <c r="J366"/>
      <c r="K366"/>
      <c r="L366"/>
      <c r="M366"/>
      <c r="N366"/>
      <c r="O366"/>
      <c r="P366"/>
      <c r="Q366"/>
      <c r="R366"/>
      <c r="S366" s="463"/>
      <c r="T366"/>
      <c r="U366"/>
      <c r="V366"/>
      <c r="W366"/>
      <c r="X366"/>
      <c r="Y366"/>
      <c r="Z366"/>
      <c r="AA366"/>
      <c r="AB366"/>
      <c r="AC366"/>
      <c r="AD366"/>
      <c r="AE366"/>
      <c r="AF366"/>
      <c r="AG366"/>
      <c r="AH366"/>
      <c r="AI366"/>
      <c r="AJ366"/>
      <c r="AK366"/>
      <c r="AL366"/>
      <c r="AM366"/>
      <c r="AN366"/>
    </row>
    <row r="367" spans="1:40" s="14" customFormat="1" x14ac:dyDescent="0.15">
      <c r="A367" s="75">
        <f ca="1">IFERROR(IF(AND(MAX($A$114:A366)&gt;A366+1, MAX($A$114:A366)&gt;20),0,IF(AND(D367="",G367=""),0,IF(OR(D367&gt;LimitSignB10, G367&gt;LimitSignB11),A366+1,0))),"")</f>
        <v>0</v>
      </c>
      <c r="B367" s="76" t="str">
        <f ca="1">IFERROR(MyTime(INDEX(INDIRECT("input!"&amp;$B$112&amp;":"&amp;$B$112),FirstRowInput+Integration*COUNT($B$114:B366)) )* $B$110,"")</f>
        <v/>
      </c>
      <c r="C367" s="77" t="str">
        <f ca="1">IFERROR(AVERAGE(INDEX(INDIRECT("input!" &amp; $C$112 &amp; ":" &amp; $C$112),FirstRowInput+Integration*COUNT($B$114:B366)):INDEX(INDIRECT("input!" &amp; $C$112 &amp; ":" &amp; $C$112),FirstRowInput+Integration*COUNT($B$114:B366)+Integration-1))*$C$110,"")</f>
        <v/>
      </c>
      <c r="D367" s="77" t="str">
        <f ca="1">IFERROR(AVERAGE(INDEX(INDIRECT("input!" &amp; $D$112 &amp; ":" &amp; $D$112),FirstRowInput+Integration*COUNT($B$114:B366)):INDEX(INDIRECT("input!" &amp; $D$112 &amp; ":" &amp; $D$112),FirstRowInput+Integration*COUNT($B$114:B366)+Integration-1))*$D$110,"")</f>
        <v/>
      </c>
      <c r="E367" s="77" t="str">
        <f ca="1">IFERROR(AVERAGE(INDEX(INDIRECT("input!" &amp; $E$112 &amp; ":" &amp; $E$112),FirstRowInput+Integration*COUNT($B$114:B366)):INDEX(INDIRECT("input!" &amp; $E$112 &amp; ":" &amp; $E$112),FirstRowInput+Integration*COUNT($B$114:B366)+Integration-1))*$E$110,"")</f>
        <v/>
      </c>
      <c r="F367" s="77" t="str">
        <f ca="1">IFERROR(AVERAGE(INDEX(INDIRECT("input!" &amp; $F$112 &amp; ":" &amp; $F$112),FirstRowInput+Integration*COUNT($B$114:B366)):INDEX(INDIRECT("input!" &amp; $F$112 &amp; ":" &amp; $F$112),FirstRowInput+Integration*COUNT($B$114:B366)+Integration-1))*$F$110,"")</f>
        <v/>
      </c>
      <c r="G367" s="77" t="str">
        <f ca="1">IFERROR(AVERAGE(INDEX(INDIRECT("input!" &amp; $G$112 &amp; ":" &amp; $G$112),FirstRowInput+Integration*COUNT($B$114:B366)):INDEX(INDIRECT("input!" &amp; $G$112 &amp; ":" &amp; $G$112),FirstRowInput+Integration*COUNT($B$114:B366)+Integration-1))*$G$110,"")</f>
        <v/>
      </c>
      <c r="H367" s="77" t="str">
        <f ca="1">IFERROR(AVERAGE(INDEX(INDIRECT("input!" &amp; $H$112 &amp; ":" &amp; $H$112),FirstRowInput+Integration*COUNT($B$114:B366)):INDEX(INDIRECT("input!" &amp; $H$112 &amp; ":" &amp; $H$112),FirstRowInput+Integration*COUNT($B$114:B366)+Integration-1))*$H$110,"")</f>
        <v/>
      </c>
      <c r="I367" s="42">
        <v>255</v>
      </c>
      <c r="J367"/>
      <c r="K367"/>
      <c r="L367"/>
      <c r="M367"/>
      <c r="N367"/>
      <c r="O367"/>
      <c r="P367"/>
      <c r="Q367"/>
      <c r="R367"/>
      <c r="S367" s="463"/>
      <c r="T367"/>
      <c r="U367"/>
      <c r="V367"/>
      <c r="W367"/>
      <c r="X367"/>
      <c r="Y367"/>
      <c r="Z367"/>
      <c r="AA367"/>
      <c r="AB367"/>
      <c r="AC367"/>
      <c r="AD367"/>
      <c r="AE367"/>
      <c r="AF367"/>
      <c r="AG367"/>
      <c r="AH367"/>
      <c r="AI367"/>
      <c r="AJ367"/>
      <c r="AK367"/>
      <c r="AL367"/>
      <c r="AM367"/>
      <c r="AN367"/>
    </row>
    <row r="368" spans="1:40" s="14" customFormat="1" x14ac:dyDescent="0.15">
      <c r="A368" s="75">
        <f ca="1">IFERROR(IF(AND(MAX($A$114:A367)&gt;A367+1, MAX($A$114:A367)&gt;20),0,IF(AND(D368="",G368=""),0,IF(OR(D368&gt;LimitSignB10, G368&gt;LimitSignB11),A367+1,0))),"")</f>
        <v>0</v>
      </c>
      <c r="B368" s="76" t="str">
        <f ca="1">IFERROR(MyTime(INDEX(INDIRECT("input!"&amp;$B$112&amp;":"&amp;$B$112),FirstRowInput+Integration*COUNT($B$114:B367)) )* $B$110,"")</f>
        <v/>
      </c>
      <c r="C368" s="77" t="str">
        <f ca="1">IFERROR(AVERAGE(INDEX(INDIRECT("input!" &amp; $C$112 &amp; ":" &amp; $C$112),FirstRowInput+Integration*COUNT($B$114:B367)):INDEX(INDIRECT("input!" &amp; $C$112 &amp; ":" &amp; $C$112),FirstRowInput+Integration*COUNT($B$114:B367)+Integration-1))*$C$110,"")</f>
        <v/>
      </c>
      <c r="D368" s="77" t="str">
        <f ca="1">IFERROR(AVERAGE(INDEX(INDIRECT("input!" &amp; $D$112 &amp; ":" &amp; $D$112),FirstRowInput+Integration*COUNT($B$114:B367)):INDEX(INDIRECT("input!" &amp; $D$112 &amp; ":" &amp; $D$112),FirstRowInput+Integration*COUNT($B$114:B367)+Integration-1))*$D$110,"")</f>
        <v/>
      </c>
      <c r="E368" s="77" t="str">
        <f ca="1">IFERROR(AVERAGE(INDEX(INDIRECT("input!" &amp; $E$112 &amp; ":" &amp; $E$112),FirstRowInput+Integration*COUNT($B$114:B367)):INDEX(INDIRECT("input!" &amp; $E$112 &amp; ":" &amp; $E$112),FirstRowInput+Integration*COUNT($B$114:B367)+Integration-1))*$E$110,"")</f>
        <v/>
      </c>
      <c r="F368" s="77" t="str">
        <f ca="1">IFERROR(AVERAGE(INDEX(INDIRECT("input!" &amp; $F$112 &amp; ":" &amp; $F$112),FirstRowInput+Integration*COUNT($B$114:B367)):INDEX(INDIRECT("input!" &amp; $F$112 &amp; ":" &amp; $F$112),FirstRowInput+Integration*COUNT($B$114:B367)+Integration-1))*$F$110,"")</f>
        <v/>
      </c>
      <c r="G368" s="77" t="str">
        <f ca="1">IFERROR(AVERAGE(INDEX(INDIRECT("input!" &amp; $G$112 &amp; ":" &amp; $G$112),FirstRowInput+Integration*COUNT($B$114:B367)):INDEX(INDIRECT("input!" &amp; $G$112 &amp; ":" &amp; $G$112),FirstRowInput+Integration*COUNT($B$114:B367)+Integration-1))*$G$110,"")</f>
        <v/>
      </c>
      <c r="H368" s="77" t="str">
        <f ca="1">IFERROR(AVERAGE(INDEX(INDIRECT("input!" &amp; $H$112 &amp; ":" &amp; $H$112),FirstRowInput+Integration*COUNT($B$114:B367)):INDEX(INDIRECT("input!" &amp; $H$112 &amp; ":" &amp; $H$112),FirstRowInput+Integration*COUNT($B$114:B367)+Integration-1))*$H$110,"")</f>
        <v/>
      </c>
      <c r="I368" s="42">
        <v>256</v>
      </c>
      <c r="J368"/>
      <c r="K368"/>
      <c r="L368"/>
      <c r="M368"/>
      <c r="N368"/>
      <c r="O368"/>
      <c r="P368"/>
      <c r="Q368"/>
      <c r="R368"/>
      <c r="S368" s="463"/>
      <c r="T368"/>
      <c r="U368"/>
      <c r="V368"/>
      <c r="W368"/>
      <c r="X368"/>
      <c r="Y368"/>
      <c r="Z368"/>
      <c r="AA368"/>
      <c r="AB368"/>
      <c r="AC368"/>
      <c r="AD368"/>
      <c r="AE368"/>
      <c r="AF368"/>
      <c r="AG368"/>
      <c r="AH368"/>
      <c r="AI368"/>
      <c r="AJ368"/>
      <c r="AK368"/>
      <c r="AL368"/>
      <c r="AM368"/>
      <c r="AN368"/>
    </row>
    <row r="369" spans="1:40" s="14" customFormat="1" x14ac:dyDescent="0.15">
      <c r="A369" s="75">
        <f ca="1">IFERROR(IF(AND(MAX($A$114:A368)&gt;A368+1, MAX($A$114:A368)&gt;20),0,IF(AND(D369="",G369=""),0,IF(OR(D369&gt;LimitSignB10, G369&gt;LimitSignB11),A368+1,0))),"")</f>
        <v>0</v>
      </c>
      <c r="B369" s="76" t="str">
        <f ca="1">IFERROR(MyTime(INDEX(INDIRECT("input!"&amp;$B$112&amp;":"&amp;$B$112),FirstRowInput+Integration*COUNT($B$114:B368)) )* $B$110,"")</f>
        <v/>
      </c>
      <c r="C369" s="77" t="str">
        <f ca="1">IFERROR(AVERAGE(INDEX(INDIRECT("input!" &amp; $C$112 &amp; ":" &amp; $C$112),FirstRowInput+Integration*COUNT($B$114:B368)):INDEX(INDIRECT("input!" &amp; $C$112 &amp; ":" &amp; $C$112),FirstRowInput+Integration*COUNT($B$114:B368)+Integration-1))*$C$110,"")</f>
        <v/>
      </c>
      <c r="D369" s="77" t="str">
        <f ca="1">IFERROR(AVERAGE(INDEX(INDIRECT("input!" &amp; $D$112 &amp; ":" &amp; $D$112),FirstRowInput+Integration*COUNT($B$114:B368)):INDEX(INDIRECT("input!" &amp; $D$112 &amp; ":" &amp; $D$112),FirstRowInput+Integration*COUNT($B$114:B368)+Integration-1))*$D$110,"")</f>
        <v/>
      </c>
      <c r="E369" s="77" t="str">
        <f ca="1">IFERROR(AVERAGE(INDEX(INDIRECT("input!" &amp; $E$112 &amp; ":" &amp; $E$112),FirstRowInput+Integration*COUNT($B$114:B368)):INDEX(INDIRECT("input!" &amp; $E$112 &amp; ":" &amp; $E$112),FirstRowInput+Integration*COUNT($B$114:B368)+Integration-1))*$E$110,"")</f>
        <v/>
      </c>
      <c r="F369" s="77" t="str">
        <f ca="1">IFERROR(AVERAGE(INDEX(INDIRECT("input!" &amp; $F$112 &amp; ":" &amp; $F$112),FirstRowInput+Integration*COUNT($B$114:B368)):INDEX(INDIRECT("input!" &amp; $F$112 &amp; ":" &amp; $F$112),FirstRowInput+Integration*COUNT($B$114:B368)+Integration-1))*$F$110,"")</f>
        <v/>
      </c>
      <c r="G369" s="77" t="str">
        <f ca="1">IFERROR(AVERAGE(INDEX(INDIRECT("input!" &amp; $G$112 &amp; ":" &amp; $G$112),FirstRowInput+Integration*COUNT($B$114:B368)):INDEX(INDIRECT("input!" &amp; $G$112 &amp; ":" &amp; $G$112),FirstRowInput+Integration*COUNT($B$114:B368)+Integration-1))*$G$110,"")</f>
        <v/>
      </c>
      <c r="H369" s="77" t="str">
        <f ca="1">IFERROR(AVERAGE(INDEX(INDIRECT("input!" &amp; $H$112 &amp; ":" &amp; $H$112),FirstRowInput+Integration*COUNT($B$114:B368)):INDEX(INDIRECT("input!" &amp; $H$112 &amp; ":" &amp; $H$112),FirstRowInput+Integration*COUNT($B$114:B368)+Integration-1))*$H$110,"")</f>
        <v/>
      </c>
      <c r="I369" s="42">
        <v>257</v>
      </c>
      <c r="J369"/>
      <c r="K369"/>
      <c r="L369"/>
      <c r="M369"/>
      <c r="N369"/>
      <c r="O369"/>
      <c r="P369"/>
      <c r="Q369"/>
      <c r="R369"/>
      <c r="S369" s="463"/>
      <c r="T369"/>
      <c r="U369"/>
      <c r="V369"/>
      <c r="W369"/>
      <c r="X369"/>
      <c r="Y369"/>
      <c r="Z369"/>
      <c r="AA369"/>
      <c r="AB369"/>
      <c r="AC369"/>
      <c r="AD369"/>
      <c r="AE369"/>
      <c r="AF369"/>
      <c r="AG369"/>
      <c r="AH369"/>
      <c r="AI369"/>
      <c r="AJ369"/>
      <c r="AK369"/>
      <c r="AL369"/>
      <c r="AM369"/>
      <c r="AN369"/>
    </row>
    <row r="370" spans="1:40" s="14" customFormat="1" x14ac:dyDescent="0.15">
      <c r="A370" s="75">
        <f ca="1">IFERROR(IF(AND(MAX($A$114:A369)&gt;A369+1, MAX($A$114:A369)&gt;20),0,IF(AND(D370="",G370=""),0,IF(OR(D370&gt;LimitSignB10, G370&gt;LimitSignB11),A369+1,0))),"")</f>
        <v>0</v>
      </c>
      <c r="B370" s="76" t="str">
        <f ca="1">IFERROR(MyTime(INDEX(INDIRECT("input!"&amp;$B$112&amp;":"&amp;$B$112),FirstRowInput+Integration*COUNT($B$114:B369)) )* $B$110,"")</f>
        <v/>
      </c>
      <c r="C370" s="77" t="str">
        <f ca="1">IFERROR(AVERAGE(INDEX(INDIRECT("input!" &amp; $C$112 &amp; ":" &amp; $C$112),FirstRowInput+Integration*COUNT($B$114:B369)):INDEX(INDIRECT("input!" &amp; $C$112 &amp; ":" &amp; $C$112),FirstRowInput+Integration*COUNT($B$114:B369)+Integration-1))*$C$110,"")</f>
        <v/>
      </c>
      <c r="D370" s="77" t="str">
        <f ca="1">IFERROR(AVERAGE(INDEX(INDIRECT("input!" &amp; $D$112 &amp; ":" &amp; $D$112),FirstRowInput+Integration*COUNT($B$114:B369)):INDEX(INDIRECT("input!" &amp; $D$112 &amp; ":" &amp; $D$112),FirstRowInput+Integration*COUNT($B$114:B369)+Integration-1))*$D$110,"")</f>
        <v/>
      </c>
      <c r="E370" s="77" t="str">
        <f ca="1">IFERROR(AVERAGE(INDEX(INDIRECT("input!" &amp; $E$112 &amp; ":" &amp; $E$112),FirstRowInput+Integration*COUNT($B$114:B369)):INDEX(INDIRECT("input!" &amp; $E$112 &amp; ":" &amp; $E$112),FirstRowInput+Integration*COUNT($B$114:B369)+Integration-1))*$E$110,"")</f>
        <v/>
      </c>
      <c r="F370" s="77" t="str">
        <f ca="1">IFERROR(AVERAGE(INDEX(INDIRECT("input!" &amp; $F$112 &amp; ":" &amp; $F$112),FirstRowInput+Integration*COUNT($B$114:B369)):INDEX(INDIRECT("input!" &amp; $F$112 &amp; ":" &amp; $F$112),FirstRowInput+Integration*COUNT($B$114:B369)+Integration-1))*$F$110,"")</f>
        <v/>
      </c>
      <c r="G370" s="77" t="str">
        <f ca="1">IFERROR(AVERAGE(INDEX(INDIRECT("input!" &amp; $G$112 &amp; ":" &amp; $G$112),FirstRowInput+Integration*COUNT($B$114:B369)):INDEX(INDIRECT("input!" &amp; $G$112 &amp; ":" &amp; $G$112),FirstRowInput+Integration*COUNT($B$114:B369)+Integration-1))*$G$110,"")</f>
        <v/>
      </c>
      <c r="H370" s="77" t="str">
        <f ca="1">IFERROR(AVERAGE(INDEX(INDIRECT("input!" &amp; $H$112 &amp; ":" &amp; $H$112),FirstRowInput+Integration*COUNT($B$114:B369)):INDEX(INDIRECT("input!" &amp; $H$112 &amp; ":" &amp; $H$112),FirstRowInput+Integration*COUNT($B$114:B369)+Integration-1))*$H$110,"")</f>
        <v/>
      </c>
      <c r="I370" s="42">
        <v>258</v>
      </c>
      <c r="J370"/>
      <c r="K370"/>
      <c r="L370"/>
      <c r="M370"/>
      <c r="N370"/>
      <c r="O370"/>
      <c r="P370"/>
      <c r="Q370"/>
      <c r="R370"/>
      <c r="S370" s="463"/>
      <c r="T370"/>
      <c r="U370"/>
      <c r="V370"/>
      <c r="W370"/>
      <c r="X370"/>
      <c r="Y370"/>
      <c r="Z370"/>
      <c r="AA370"/>
      <c r="AB370"/>
      <c r="AC370"/>
      <c r="AD370"/>
      <c r="AE370"/>
      <c r="AF370"/>
      <c r="AG370"/>
      <c r="AH370"/>
      <c r="AI370"/>
      <c r="AJ370"/>
      <c r="AK370"/>
      <c r="AL370"/>
      <c r="AM370"/>
      <c r="AN370"/>
    </row>
    <row r="371" spans="1:40" s="14" customFormat="1" x14ac:dyDescent="0.15">
      <c r="A371" s="75">
        <f ca="1">IFERROR(IF(AND(MAX($A$114:A370)&gt;A370+1, MAX($A$114:A370)&gt;20),0,IF(AND(D371="",G371=""),0,IF(OR(D371&gt;LimitSignB10, G371&gt;LimitSignB11),A370+1,0))),"")</f>
        <v>0</v>
      </c>
      <c r="B371" s="76" t="str">
        <f ca="1">IFERROR(MyTime(INDEX(INDIRECT("input!"&amp;$B$112&amp;":"&amp;$B$112),FirstRowInput+Integration*COUNT($B$114:B370)) )* $B$110,"")</f>
        <v/>
      </c>
      <c r="C371" s="77" t="str">
        <f ca="1">IFERROR(AVERAGE(INDEX(INDIRECT("input!" &amp; $C$112 &amp; ":" &amp; $C$112),FirstRowInput+Integration*COUNT($B$114:B370)):INDEX(INDIRECT("input!" &amp; $C$112 &amp; ":" &amp; $C$112),FirstRowInput+Integration*COUNT($B$114:B370)+Integration-1))*$C$110,"")</f>
        <v/>
      </c>
      <c r="D371" s="77" t="str">
        <f ca="1">IFERROR(AVERAGE(INDEX(INDIRECT("input!" &amp; $D$112 &amp; ":" &amp; $D$112),FirstRowInput+Integration*COUNT($B$114:B370)):INDEX(INDIRECT("input!" &amp; $D$112 &amp; ":" &amp; $D$112),FirstRowInput+Integration*COUNT($B$114:B370)+Integration-1))*$D$110,"")</f>
        <v/>
      </c>
      <c r="E371" s="77" t="str">
        <f ca="1">IFERROR(AVERAGE(INDEX(INDIRECT("input!" &amp; $E$112 &amp; ":" &amp; $E$112),FirstRowInput+Integration*COUNT($B$114:B370)):INDEX(INDIRECT("input!" &amp; $E$112 &amp; ":" &amp; $E$112),FirstRowInput+Integration*COUNT($B$114:B370)+Integration-1))*$E$110,"")</f>
        <v/>
      </c>
      <c r="F371" s="77" t="str">
        <f ca="1">IFERROR(AVERAGE(INDEX(INDIRECT("input!" &amp; $F$112 &amp; ":" &amp; $F$112),FirstRowInput+Integration*COUNT($B$114:B370)):INDEX(INDIRECT("input!" &amp; $F$112 &amp; ":" &amp; $F$112),FirstRowInput+Integration*COUNT($B$114:B370)+Integration-1))*$F$110,"")</f>
        <v/>
      </c>
      <c r="G371" s="77" t="str">
        <f ca="1">IFERROR(AVERAGE(INDEX(INDIRECT("input!" &amp; $G$112 &amp; ":" &amp; $G$112),FirstRowInput+Integration*COUNT($B$114:B370)):INDEX(INDIRECT("input!" &amp; $G$112 &amp; ":" &amp; $G$112),FirstRowInput+Integration*COUNT($B$114:B370)+Integration-1))*$G$110,"")</f>
        <v/>
      </c>
      <c r="H371" s="77" t="str">
        <f ca="1">IFERROR(AVERAGE(INDEX(INDIRECT("input!" &amp; $H$112 &amp; ":" &amp; $H$112),FirstRowInput+Integration*COUNT($B$114:B370)):INDEX(INDIRECT("input!" &amp; $H$112 &amp; ":" &amp; $H$112),FirstRowInput+Integration*COUNT($B$114:B370)+Integration-1))*$H$110,"")</f>
        <v/>
      </c>
      <c r="I371" s="42">
        <v>259</v>
      </c>
      <c r="J371"/>
      <c r="K371"/>
      <c r="L371"/>
      <c r="M371"/>
      <c r="N371"/>
      <c r="O371"/>
      <c r="P371"/>
      <c r="Q371"/>
      <c r="R371"/>
      <c r="S371" s="463"/>
      <c r="T371"/>
      <c r="U371"/>
      <c r="V371"/>
      <c r="W371"/>
      <c r="X371"/>
      <c r="Y371"/>
      <c r="Z371"/>
      <c r="AA371"/>
      <c r="AB371"/>
      <c r="AC371"/>
      <c r="AD371"/>
      <c r="AE371"/>
      <c r="AF371"/>
      <c r="AG371"/>
      <c r="AH371"/>
      <c r="AI371"/>
      <c r="AJ371"/>
      <c r="AK371"/>
      <c r="AL371"/>
      <c r="AM371"/>
      <c r="AN371"/>
    </row>
    <row r="372" spans="1:40" s="14" customFormat="1" x14ac:dyDescent="0.15">
      <c r="A372" s="75">
        <f ca="1">IFERROR(IF(AND(MAX($A$114:A371)&gt;A371+1, MAX($A$114:A371)&gt;20),0,IF(AND(D372="",G372=""),0,IF(OR(D372&gt;LimitSignB10, G372&gt;LimitSignB11),A371+1,0))),"")</f>
        <v>0</v>
      </c>
      <c r="B372" s="76" t="str">
        <f ca="1">IFERROR(MyTime(INDEX(INDIRECT("input!"&amp;$B$112&amp;":"&amp;$B$112),FirstRowInput+Integration*COUNT($B$114:B371)) )* $B$110,"")</f>
        <v/>
      </c>
      <c r="C372" s="77" t="str">
        <f ca="1">IFERROR(AVERAGE(INDEX(INDIRECT("input!" &amp; $C$112 &amp; ":" &amp; $C$112),FirstRowInput+Integration*COUNT($B$114:B371)):INDEX(INDIRECT("input!" &amp; $C$112 &amp; ":" &amp; $C$112),FirstRowInput+Integration*COUNT($B$114:B371)+Integration-1))*$C$110,"")</f>
        <v/>
      </c>
      <c r="D372" s="77" t="str">
        <f ca="1">IFERROR(AVERAGE(INDEX(INDIRECT("input!" &amp; $D$112 &amp; ":" &amp; $D$112),FirstRowInput+Integration*COUNT($B$114:B371)):INDEX(INDIRECT("input!" &amp; $D$112 &amp; ":" &amp; $D$112),FirstRowInput+Integration*COUNT($B$114:B371)+Integration-1))*$D$110,"")</f>
        <v/>
      </c>
      <c r="E372" s="77" t="str">
        <f ca="1">IFERROR(AVERAGE(INDEX(INDIRECT("input!" &amp; $E$112 &amp; ":" &amp; $E$112),FirstRowInput+Integration*COUNT($B$114:B371)):INDEX(INDIRECT("input!" &amp; $E$112 &amp; ":" &amp; $E$112),FirstRowInput+Integration*COUNT($B$114:B371)+Integration-1))*$E$110,"")</f>
        <v/>
      </c>
      <c r="F372" s="77" t="str">
        <f ca="1">IFERROR(AVERAGE(INDEX(INDIRECT("input!" &amp; $F$112 &amp; ":" &amp; $F$112),FirstRowInput+Integration*COUNT($B$114:B371)):INDEX(INDIRECT("input!" &amp; $F$112 &amp; ":" &amp; $F$112),FirstRowInput+Integration*COUNT($B$114:B371)+Integration-1))*$F$110,"")</f>
        <v/>
      </c>
      <c r="G372" s="77" t="str">
        <f ca="1">IFERROR(AVERAGE(INDEX(INDIRECT("input!" &amp; $G$112 &amp; ":" &amp; $G$112),FirstRowInput+Integration*COUNT($B$114:B371)):INDEX(INDIRECT("input!" &amp; $G$112 &amp; ":" &amp; $G$112),FirstRowInput+Integration*COUNT($B$114:B371)+Integration-1))*$G$110,"")</f>
        <v/>
      </c>
      <c r="H372" s="77" t="str">
        <f ca="1">IFERROR(AVERAGE(INDEX(INDIRECT("input!" &amp; $H$112 &amp; ":" &amp; $H$112),FirstRowInput+Integration*COUNT($B$114:B371)):INDEX(INDIRECT("input!" &amp; $H$112 &amp; ":" &amp; $H$112),FirstRowInput+Integration*COUNT($B$114:B371)+Integration-1))*$H$110,"")</f>
        <v/>
      </c>
      <c r="I372" s="42">
        <v>260</v>
      </c>
      <c r="J372"/>
      <c r="K372"/>
      <c r="L372"/>
      <c r="M372"/>
      <c r="N372"/>
      <c r="O372"/>
      <c r="P372"/>
      <c r="Q372"/>
      <c r="R372"/>
      <c r="S372" s="463"/>
      <c r="T372"/>
      <c r="U372"/>
      <c r="V372"/>
      <c r="W372"/>
      <c r="X372"/>
      <c r="Y372"/>
      <c r="Z372"/>
      <c r="AA372"/>
      <c r="AB372"/>
      <c r="AC372"/>
      <c r="AD372"/>
      <c r="AE372"/>
      <c r="AF372"/>
      <c r="AG372"/>
      <c r="AH372"/>
      <c r="AI372"/>
      <c r="AJ372"/>
      <c r="AK372"/>
      <c r="AL372"/>
      <c r="AM372"/>
      <c r="AN372"/>
    </row>
    <row r="373" spans="1:40" s="14" customFormat="1" x14ac:dyDescent="0.15">
      <c r="A373" s="75">
        <f ca="1">IFERROR(IF(AND(MAX($A$114:A372)&gt;A372+1, MAX($A$114:A372)&gt;20),0,IF(AND(D373="",G373=""),0,IF(OR(D373&gt;LimitSignB10, G373&gt;LimitSignB11),A372+1,0))),"")</f>
        <v>0</v>
      </c>
      <c r="B373" s="76" t="str">
        <f ca="1">IFERROR(MyTime(INDEX(INDIRECT("input!"&amp;$B$112&amp;":"&amp;$B$112),FirstRowInput+Integration*COUNT($B$114:B372)) )* $B$110,"")</f>
        <v/>
      </c>
      <c r="C373" s="77" t="str">
        <f ca="1">IFERROR(AVERAGE(INDEX(INDIRECT("input!" &amp; $C$112 &amp; ":" &amp; $C$112),FirstRowInput+Integration*COUNT($B$114:B372)):INDEX(INDIRECT("input!" &amp; $C$112 &amp; ":" &amp; $C$112),FirstRowInput+Integration*COUNT($B$114:B372)+Integration-1))*$C$110,"")</f>
        <v/>
      </c>
      <c r="D373" s="77" t="str">
        <f ca="1">IFERROR(AVERAGE(INDEX(INDIRECT("input!" &amp; $D$112 &amp; ":" &amp; $D$112),FirstRowInput+Integration*COUNT($B$114:B372)):INDEX(INDIRECT("input!" &amp; $D$112 &amp; ":" &amp; $D$112),FirstRowInput+Integration*COUNT($B$114:B372)+Integration-1))*$D$110,"")</f>
        <v/>
      </c>
      <c r="E373" s="77" t="str">
        <f ca="1">IFERROR(AVERAGE(INDEX(INDIRECT("input!" &amp; $E$112 &amp; ":" &amp; $E$112),FirstRowInput+Integration*COUNT($B$114:B372)):INDEX(INDIRECT("input!" &amp; $E$112 &amp; ":" &amp; $E$112),FirstRowInput+Integration*COUNT($B$114:B372)+Integration-1))*$E$110,"")</f>
        <v/>
      </c>
      <c r="F373" s="77" t="str">
        <f ca="1">IFERROR(AVERAGE(INDEX(INDIRECT("input!" &amp; $F$112 &amp; ":" &amp; $F$112),FirstRowInput+Integration*COUNT($B$114:B372)):INDEX(INDIRECT("input!" &amp; $F$112 &amp; ":" &amp; $F$112),FirstRowInput+Integration*COUNT($B$114:B372)+Integration-1))*$F$110,"")</f>
        <v/>
      </c>
      <c r="G373" s="77" t="str">
        <f ca="1">IFERROR(AVERAGE(INDEX(INDIRECT("input!" &amp; $G$112 &amp; ":" &amp; $G$112),FirstRowInput+Integration*COUNT($B$114:B372)):INDEX(INDIRECT("input!" &amp; $G$112 &amp; ":" &amp; $G$112),FirstRowInput+Integration*COUNT($B$114:B372)+Integration-1))*$G$110,"")</f>
        <v/>
      </c>
      <c r="H373" s="77" t="str">
        <f ca="1">IFERROR(AVERAGE(INDEX(INDIRECT("input!" &amp; $H$112 &amp; ":" &amp; $H$112),FirstRowInput+Integration*COUNT($B$114:B372)):INDEX(INDIRECT("input!" &amp; $H$112 &amp; ":" &amp; $H$112),FirstRowInput+Integration*COUNT($B$114:B372)+Integration-1))*$H$110,"")</f>
        <v/>
      </c>
      <c r="I373" s="42">
        <v>261</v>
      </c>
      <c r="J373"/>
      <c r="K373"/>
      <c r="L373"/>
      <c r="M373"/>
      <c r="N373"/>
      <c r="O373"/>
      <c r="P373"/>
      <c r="Q373"/>
      <c r="R373"/>
      <c r="S373" s="463"/>
      <c r="T373"/>
      <c r="U373"/>
      <c r="V373"/>
      <c r="W373"/>
      <c r="X373"/>
      <c r="Y373"/>
      <c r="Z373"/>
      <c r="AA373"/>
      <c r="AB373"/>
      <c r="AC373"/>
      <c r="AD373"/>
      <c r="AE373"/>
      <c r="AF373"/>
      <c r="AG373"/>
      <c r="AH373"/>
      <c r="AI373"/>
      <c r="AJ373"/>
      <c r="AK373"/>
      <c r="AL373"/>
      <c r="AM373"/>
      <c r="AN373"/>
    </row>
    <row r="374" spans="1:40" s="14" customFormat="1" x14ac:dyDescent="0.15">
      <c r="A374" s="75">
        <f ca="1">IFERROR(IF(AND(MAX($A$114:A373)&gt;A373+1, MAX($A$114:A373)&gt;20),0,IF(AND(D374="",G374=""),0,IF(OR(D374&gt;LimitSignB10, G374&gt;LimitSignB11),A373+1,0))),"")</f>
        <v>0</v>
      </c>
      <c r="B374" s="76" t="str">
        <f ca="1">IFERROR(MyTime(INDEX(INDIRECT("input!"&amp;$B$112&amp;":"&amp;$B$112),FirstRowInput+Integration*COUNT($B$114:B373)) )* $B$110,"")</f>
        <v/>
      </c>
      <c r="C374" s="77" t="str">
        <f ca="1">IFERROR(AVERAGE(INDEX(INDIRECT("input!" &amp; $C$112 &amp; ":" &amp; $C$112),FirstRowInput+Integration*COUNT($B$114:B373)):INDEX(INDIRECT("input!" &amp; $C$112 &amp; ":" &amp; $C$112),FirstRowInput+Integration*COUNT($B$114:B373)+Integration-1))*$C$110,"")</f>
        <v/>
      </c>
      <c r="D374" s="77" t="str">
        <f ca="1">IFERROR(AVERAGE(INDEX(INDIRECT("input!" &amp; $D$112 &amp; ":" &amp; $D$112),FirstRowInput+Integration*COUNT($B$114:B373)):INDEX(INDIRECT("input!" &amp; $D$112 &amp; ":" &amp; $D$112),FirstRowInput+Integration*COUNT($B$114:B373)+Integration-1))*$D$110,"")</f>
        <v/>
      </c>
      <c r="E374" s="77" t="str">
        <f ca="1">IFERROR(AVERAGE(INDEX(INDIRECT("input!" &amp; $E$112 &amp; ":" &amp; $E$112),FirstRowInput+Integration*COUNT($B$114:B373)):INDEX(INDIRECT("input!" &amp; $E$112 &amp; ":" &amp; $E$112),FirstRowInput+Integration*COUNT($B$114:B373)+Integration-1))*$E$110,"")</f>
        <v/>
      </c>
      <c r="F374" s="77" t="str">
        <f ca="1">IFERROR(AVERAGE(INDEX(INDIRECT("input!" &amp; $F$112 &amp; ":" &amp; $F$112),FirstRowInput+Integration*COUNT($B$114:B373)):INDEX(INDIRECT("input!" &amp; $F$112 &amp; ":" &amp; $F$112),FirstRowInput+Integration*COUNT($B$114:B373)+Integration-1))*$F$110,"")</f>
        <v/>
      </c>
      <c r="G374" s="77" t="str">
        <f ca="1">IFERROR(AVERAGE(INDEX(INDIRECT("input!" &amp; $G$112 &amp; ":" &amp; $G$112),FirstRowInput+Integration*COUNT($B$114:B373)):INDEX(INDIRECT("input!" &amp; $G$112 &amp; ":" &amp; $G$112),FirstRowInput+Integration*COUNT($B$114:B373)+Integration-1))*$G$110,"")</f>
        <v/>
      </c>
      <c r="H374" s="77" t="str">
        <f ca="1">IFERROR(AVERAGE(INDEX(INDIRECT("input!" &amp; $H$112 &amp; ":" &amp; $H$112),FirstRowInput+Integration*COUNT($B$114:B373)):INDEX(INDIRECT("input!" &amp; $H$112 &amp; ":" &amp; $H$112),FirstRowInput+Integration*COUNT($B$114:B373)+Integration-1))*$H$110,"")</f>
        <v/>
      </c>
      <c r="I374" s="42">
        <v>262</v>
      </c>
      <c r="J374"/>
      <c r="K374"/>
      <c r="L374"/>
      <c r="M374"/>
      <c r="N374"/>
      <c r="O374"/>
      <c r="P374"/>
      <c r="Q374"/>
      <c r="R374"/>
      <c r="S374" s="463"/>
      <c r="T374"/>
      <c r="U374"/>
      <c r="V374"/>
      <c r="W374"/>
      <c r="AA374"/>
      <c r="AB374"/>
      <c r="AC374"/>
      <c r="AD374"/>
      <c r="AE374"/>
      <c r="AF374"/>
      <c r="AG374"/>
      <c r="AH374"/>
      <c r="AI374"/>
      <c r="AJ374"/>
      <c r="AK374"/>
      <c r="AL374"/>
      <c r="AM374"/>
      <c r="AN374"/>
    </row>
    <row r="375" spans="1:40" x14ac:dyDescent="0.15">
      <c r="A375" s="75">
        <f ca="1">IFERROR(IF(AND(MAX($A$114:A374)&gt;A374+1, MAX($A$114:A374)&gt;20),0,IF(AND(D375="",G375=""),0,IF(OR(D375&gt;LimitSignB10, G375&gt;LimitSignB11),A374+1,0))),"")</f>
        <v>0</v>
      </c>
      <c r="B375" s="76" t="str">
        <f ca="1">IFERROR(MyTime(INDEX(INDIRECT("input!"&amp;$B$112&amp;":"&amp;$B$112),FirstRowInput+Integration*COUNT($B$114:B374)) )* $B$110,"")</f>
        <v/>
      </c>
      <c r="C375" s="77" t="str">
        <f ca="1">IFERROR(AVERAGE(INDEX(INDIRECT("input!" &amp; $C$112 &amp; ":" &amp; $C$112),FirstRowInput+Integration*COUNT($B$114:B374)):INDEX(INDIRECT("input!" &amp; $C$112 &amp; ":" &amp; $C$112),FirstRowInput+Integration*COUNT($B$114:B374)+Integration-1))*$C$110,"")</f>
        <v/>
      </c>
      <c r="D375" s="77" t="str">
        <f ca="1">IFERROR(AVERAGE(INDEX(INDIRECT("input!" &amp; $D$112 &amp; ":" &amp; $D$112),FirstRowInput+Integration*COUNT($B$114:B374)):INDEX(INDIRECT("input!" &amp; $D$112 &amp; ":" &amp; $D$112),FirstRowInput+Integration*COUNT($B$114:B374)+Integration-1))*$D$110,"")</f>
        <v/>
      </c>
      <c r="E375" s="77" t="str">
        <f ca="1">IFERROR(AVERAGE(INDEX(INDIRECT("input!" &amp; $E$112 &amp; ":" &amp; $E$112),FirstRowInput+Integration*COUNT($B$114:B374)):INDEX(INDIRECT("input!" &amp; $E$112 &amp; ":" &amp; $E$112),FirstRowInput+Integration*COUNT($B$114:B374)+Integration-1))*$E$110,"")</f>
        <v/>
      </c>
      <c r="F375" s="77" t="str">
        <f ca="1">IFERROR(AVERAGE(INDEX(INDIRECT("input!" &amp; $F$112 &amp; ":" &amp; $F$112),FirstRowInput+Integration*COUNT($B$114:B374)):INDEX(INDIRECT("input!" &amp; $F$112 &amp; ":" &amp; $F$112),FirstRowInput+Integration*COUNT($B$114:B374)+Integration-1))*$F$110,"")</f>
        <v/>
      </c>
      <c r="G375" s="77" t="str">
        <f ca="1">IFERROR(AVERAGE(INDEX(INDIRECT("input!" &amp; $G$112 &amp; ":" &amp; $G$112),FirstRowInput+Integration*COUNT($B$114:B374)):INDEX(INDIRECT("input!" &amp; $G$112 &amp; ":" &amp; $G$112),FirstRowInput+Integration*COUNT($B$114:B374)+Integration-1))*$G$110,"")</f>
        <v/>
      </c>
      <c r="H375" s="77" t="str">
        <f ca="1">IFERROR(AVERAGE(INDEX(INDIRECT("input!" &amp; $H$112 &amp; ":" &amp; $H$112),FirstRowInput+Integration*COUNT($B$114:B374)):INDEX(INDIRECT("input!" &amp; $H$112 &amp; ":" &amp; $H$112),FirstRowInput+Integration*COUNT($B$114:B374)+Integration-1))*$H$110,"")</f>
        <v/>
      </c>
      <c r="I375" s="42">
        <v>263</v>
      </c>
      <c r="K375"/>
      <c r="L375"/>
      <c r="M375"/>
      <c r="N375"/>
      <c r="O375"/>
      <c r="P375"/>
      <c r="Q375"/>
      <c r="R375"/>
      <c r="S375" s="463"/>
      <c r="T375"/>
      <c r="U375"/>
      <c r="V375"/>
      <c r="W375"/>
    </row>
    <row r="376" spans="1:40" x14ac:dyDescent="0.15">
      <c r="A376" s="75">
        <f ca="1">IFERROR(IF(AND(MAX($A$114:A375)&gt;A375+1, MAX($A$114:A375)&gt;20),0,IF(AND(D376="",G376=""),0,IF(OR(D376&gt;LimitSignB10, G376&gt;LimitSignB11),A375+1,0))),"")</f>
        <v>0</v>
      </c>
      <c r="B376" s="76" t="str">
        <f ca="1">IFERROR(MyTime(INDEX(INDIRECT("input!"&amp;$B$112&amp;":"&amp;$B$112),FirstRowInput+Integration*COUNT($B$114:B375)) )* $B$110,"")</f>
        <v/>
      </c>
      <c r="C376" s="77" t="str">
        <f ca="1">IFERROR(AVERAGE(INDEX(INDIRECT("input!" &amp; $C$112 &amp; ":" &amp; $C$112),FirstRowInput+Integration*COUNT($B$114:B375)):INDEX(INDIRECT("input!" &amp; $C$112 &amp; ":" &amp; $C$112),FirstRowInput+Integration*COUNT($B$114:B375)+Integration-1))*$C$110,"")</f>
        <v/>
      </c>
      <c r="D376" s="77" t="str">
        <f ca="1">IFERROR(AVERAGE(INDEX(INDIRECT("input!" &amp; $D$112 &amp; ":" &amp; $D$112),FirstRowInput+Integration*COUNT($B$114:B375)):INDEX(INDIRECT("input!" &amp; $D$112 &amp; ":" &amp; $D$112),FirstRowInput+Integration*COUNT($B$114:B375)+Integration-1))*$D$110,"")</f>
        <v/>
      </c>
      <c r="E376" s="77" t="str">
        <f ca="1">IFERROR(AVERAGE(INDEX(INDIRECT("input!" &amp; $E$112 &amp; ":" &amp; $E$112),FirstRowInput+Integration*COUNT($B$114:B375)):INDEX(INDIRECT("input!" &amp; $E$112 &amp; ":" &amp; $E$112),FirstRowInput+Integration*COUNT($B$114:B375)+Integration-1))*$E$110,"")</f>
        <v/>
      </c>
      <c r="F376" s="77" t="str">
        <f ca="1">IFERROR(AVERAGE(INDEX(INDIRECT("input!" &amp; $F$112 &amp; ":" &amp; $F$112),FirstRowInput+Integration*COUNT($B$114:B375)):INDEX(INDIRECT("input!" &amp; $F$112 &amp; ":" &amp; $F$112),FirstRowInput+Integration*COUNT($B$114:B375)+Integration-1))*$F$110,"")</f>
        <v/>
      </c>
      <c r="G376" s="77" t="str">
        <f ca="1">IFERROR(AVERAGE(INDEX(INDIRECT("input!" &amp; $G$112 &amp; ":" &amp; $G$112),FirstRowInput+Integration*COUNT($B$114:B375)):INDEX(INDIRECT("input!" &amp; $G$112 &amp; ":" &amp; $G$112),FirstRowInput+Integration*COUNT($B$114:B375)+Integration-1))*$G$110,"")</f>
        <v/>
      </c>
      <c r="H376" s="77" t="str">
        <f ca="1">IFERROR(AVERAGE(INDEX(INDIRECT("input!" &amp; $H$112 &amp; ":" &amp; $H$112),FirstRowInput+Integration*COUNT($B$114:B375)):INDEX(INDIRECT("input!" &amp; $H$112 &amp; ":" &amp; $H$112),FirstRowInput+Integration*COUNT($B$114:B375)+Integration-1))*$H$110,"")</f>
        <v/>
      </c>
      <c r="I376" s="42">
        <v>264</v>
      </c>
      <c r="K376"/>
      <c r="L376"/>
      <c r="M376"/>
      <c r="N376"/>
      <c r="O376"/>
      <c r="P376"/>
      <c r="Q376"/>
      <c r="R376"/>
      <c r="S376" s="463"/>
      <c r="T376"/>
      <c r="U376"/>
      <c r="V376"/>
      <c r="W376"/>
    </row>
    <row r="377" spans="1:40" x14ac:dyDescent="0.15">
      <c r="A377" s="75">
        <f ca="1">IFERROR(IF(AND(MAX($A$114:A376)&gt;A376+1, MAX($A$114:A376)&gt;20),0,IF(AND(D377="",G377=""),0,IF(OR(D377&gt;LimitSignB10, G377&gt;LimitSignB11),A376+1,0))),"")</f>
        <v>0</v>
      </c>
      <c r="B377" s="76" t="str">
        <f ca="1">IFERROR(MyTime(INDEX(INDIRECT("input!"&amp;$B$112&amp;":"&amp;$B$112),FirstRowInput+Integration*COUNT($B$114:B376)) )* $B$110,"")</f>
        <v/>
      </c>
      <c r="C377" s="77" t="str">
        <f ca="1">IFERROR(AVERAGE(INDEX(INDIRECT("input!" &amp; $C$112 &amp; ":" &amp; $C$112),FirstRowInput+Integration*COUNT($B$114:B376)):INDEX(INDIRECT("input!" &amp; $C$112 &amp; ":" &amp; $C$112),FirstRowInput+Integration*COUNT($B$114:B376)+Integration-1))*$C$110,"")</f>
        <v/>
      </c>
      <c r="D377" s="77" t="str">
        <f ca="1">IFERROR(AVERAGE(INDEX(INDIRECT("input!" &amp; $D$112 &amp; ":" &amp; $D$112),FirstRowInput+Integration*COUNT($B$114:B376)):INDEX(INDIRECT("input!" &amp; $D$112 &amp; ":" &amp; $D$112),FirstRowInput+Integration*COUNT($B$114:B376)+Integration-1))*$D$110,"")</f>
        <v/>
      </c>
      <c r="E377" s="77" t="str">
        <f ca="1">IFERROR(AVERAGE(INDEX(INDIRECT("input!" &amp; $E$112 &amp; ":" &amp; $E$112),FirstRowInput+Integration*COUNT($B$114:B376)):INDEX(INDIRECT("input!" &amp; $E$112 &amp; ":" &amp; $E$112),FirstRowInput+Integration*COUNT($B$114:B376)+Integration-1))*$E$110,"")</f>
        <v/>
      </c>
      <c r="F377" s="77" t="str">
        <f ca="1">IFERROR(AVERAGE(INDEX(INDIRECT("input!" &amp; $F$112 &amp; ":" &amp; $F$112),FirstRowInput+Integration*COUNT($B$114:B376)):INDEX(INDIRECT("input!" &amp; $F$112 &amp; ":" &amp; $F$112),FirstRowInput+Integration*COUNT($B$114:B376)+Integration-1))*$F$110,"")</f>
        <v/>
      </c>
      <c r="G377" s="77" t="str">
        <f ca="1">IFERROR(AVERAGE(INDEX(INDIRECT("input!" &amp; $G$112 &amp; ":" &amp; $G$112),FirstRowInput+Integration*COUNT($B$114:B376)):INDEX(INDIRECT("input!" &amp; $G$112 &amp; ":" &amp; $G$112),FirstRowInput+Integration*COUNT($B$114:B376)+Integration-1))*$G$110,"")</f>
        <v/>
      </c>
      <c r="H377" s="77" t="str">
        <f ca="1">IFERROR(AVERAGE(INDEX(INDIRECT("input!" &amp; $H$112 &amp; ":" &amp; $H$112),FirstRowInput+Integration*COUNT($B$114:B376)):INDEX(INDIRECT("input!" &amp; $H$112 &amp; ":" &amp; $H$112),FirstRowInput+Integration*COUNT($B$114:B376)+Integration-1))*$H$110,"")</f>
        <v/>
      </c>
      <c r="I377" s="42">
        <v>265</v>
      </c>
      <c r="K377"/>
      <c r="L377"/>
      <c r="M377"/>
      <c r="N377"/>
      <c r="O377"/>
      <c r="P377"/>
      <c r="Q377"/>
      <c r="R377"/>
      <c r="S377" s="463"/>
      <c r="T377"/>
      <c r="U377"/>
      <c r="V377"/>
      <c r="W377"/>
    </row>
    <row r="378" spans="1:40" x14ac:dyDescent="0.15">
      <c r="A378" s="75">
        <f ca="1">IFERROR(IF(AND(MAX($A$114:A377)&gt;A377+1, MAX($A$114:A377)&gt;20),0,IF(AND(D378="",G378=""),0,IF(OR(D378&gt;LimitSignB10, G378&gt;LimitSignB11),A377+1,0))),"")</f>
        <v>0</v>
      </c>
      <c r="B378" s="76" t="str">
        <f ca="1">IFERROR(MyTime(INDEX(INDIRECT("input!"&amp;$B$112&amp;":"&amp;$B$112),FirstRowInput+Integration*COUNT($B$114:B377)) )* $B$110,"")</f>
        <v/>
      </c>
      <c r="C378" s="77" t="str">
        <f ca="1">IFERROR(AVERAGE(INDEX(INDIRECT("input!" &amp; $C$112 &amp; ":" &amp; $C$112),FirstRowInput+Integration*COUNT($B$114:B377)):INDEX(INDIRECT("input!" &amp; $C$112 &amp; ":" &amp; $C$112),FirstRowInput+Integration*COUNT($B$114:B377)+Integration-1))*$C$110,"")</f>
        <v/>
      </c>
      <c r="D378" s="77" t="str">
        <f ca="1">IFERROR(AVERAGE(INDEX(INDIRECT("input!" &amp; $D$112 &amp; ":" &amp; $D$112),FirstRowInput+Integration*COUNT($B$114:B377)):INDEX(INDIRECT("input!" &amp; $D$112 &amp; ":" &amp; $D$112),FirstRowInput+Integration*COUNT($B$114:B377)+Integration-1))*$D$110,"")</f>
        <v/>
      </c>
      <c r="E378" s="77" t="str">
        <f ca="1">IFERROR(AVERAGE(INDEX(INDIRECT("input!" &amp; $E$112 &amp; ":" &amp; $E$112),FirstRowInput+Integration*COUNT($B$114:B377)):INDEX(INDIRECT("input!" &amp; $E$112 &amp; ":" &amp; $E$112),FirstRowInput+Integration*COUNT($B$114:B377)+Integration-1))*$E$110,"")</f>
        <v/>
      </c>
      <c r="F378" s="77" t="str">
        <f ca="1">IFERROR(AVERAGE(INDEX(INDIRECT("input!" &amp; $F$112 &amp; ":" &amp; $F$112),FirstRowInput+Integration*COUNT($B$114:B377)):INDEX(INDIRECT("input!" &amp; $F$112 &amp; ":" &amp; $F$112),FirstRowInput+Integration*COUNT($B$114:B377)+Integration-1))*$F$110,"")</f>
        <v/>
      </c>
      <c r="G378" s="77" t="str">
        <f ca="1">IFERROR(AVERAGE(INDEX(INDIRECT("input!" &amp; $G$112 &amp; ":" &amp; $G$112),FirstRowInput+Integration*COUNT($B$114:B377)):INDEX(INDIRECT("input!" &amp; $G$112 &amp; ":" &amp; $G$112),FirstRowInput+Integration*COUNT($B$114:B377)+Integration-1))*$G$110,"")</f>
        <v/>
      </c>
      <c r="H378" s="77" t="str">
        <f ca="1">IFERROR(AVERAGE(INDEX(INDIRECT("input!" &amp; $H$112 &amp; ":" &amp; $H$112),FirstRowInput+Integration*COUNT($B$114:B377)):INDEX(INDIRECT("input!" &amp; $H$112 &amp; ":" &amp; $H$112),FirstRowInput+Integration*COUNT($B$114:B377)+Integration-1))*$H$110,"")</f>
        <v/>
      </c>
      <c r="I378" s="42">
        <v>266</v>
      </c>
      <c r="K378"/>
      <c r="L378"/>
      <c r="M378"/>
      <c r="N378"/>
      <c r="O378"/>
      <c r="P378"/>
      <c r="Q378"/>
      <c r="R378"/>
      <c r="S378" s="463"/>
      <c r="T378"/>
      <c r="U378"/>
      <c r="V378"/>
      <c r="W378"/>
    </row>
    <row r="379" spans="1:40" x14ac:dyDescent="0.15">
      <c r="A379" s="75">
        <f ca="1">IFERROR(IF(AND(MAX($A$114:A378)&gt;A378+1, MAX($A$114:A378)&gt;20),0,IF(AND(D379="",G379=""),0,IF(OR(D379&gt;LimitSignB10, G379&gt;LimitSignB11),A378+1,0))),"")</f>
        <v>0</v>
      </c>
      <c r="B379" s="76" t="str">
        <f ca="1">IFERROR(MyTime(INDEX(INDIRECT("input!"&amp;$B$112&amp;":"&amp;$B$112),FirstRowInput+Integration*COUNT($B$114:B378)) )* $B$110,"")</f>
        <v/>
      </c>
      <c r="C379" s="77" t="str">
        <f ca="1">IFERROR(AVERAGE(INDEX(INDIRECT("input!" &amp; $C$112 &amp; ":" &amp; $C$112),FirstRowInput+Integration*COUNT($B$114:B378)):INDEX(INDIRECT("input!" &amp; $C$112 &amp; ":" &amp; $C$112),FirstRowInput+Integration*COUNT($B$114:B378)+Integration-1))*$C$110,"")</f>
        <v/>
      </c>
      <c r="D379" s="77" t="str">
        <f ca="1">IFERROR(AVERAGE(INDEX(INDIRECT("input!" &amp; $D$112 &amp; ":" &amp; $D$112),FirstRowInput+Integration*COUNT($B$114:B378)):INDEX(INDIRECT("input!" &amp; $D$112 &amp; ":" &amp; $D$112),FirstRowInput+Integration*COUNT($B$114:B378)+Integration-1))*$D$110,"")</f>
        <v/>
      </c>
      <c r="E379" s="77" t="str">
        <f ca="1">IFERROR(AVERAGE(INDEX(INDIRECT("input!" &amp; $E$112 &amp; ":" &amp; $E$112),FirstRowInput+Integration*COUNT($B$114:B378)):INDEX(INDIRECT("input!" &amp; $E$112 &amp; ":" &amp; $E$112),FirstRowInput+Integration*COUNT($B$114:B378)+Integration-1))*$E$110,"")</f>
        <v/>
      </c>
      <c r="F379" s="77" t="str">
        <f ca="1">IFERROR(AVERAGE(INDEX(INDIRECT("input!" &amp; $F$112 &amp; ":" &amp; $F$112),FirstRowInput+Integration*COUNT($B$114:B378)):INDEX(INDIRECT("input!" &amp; $F$112 &amp; ":" &amp; $F$112),FirstRowInput+Integration*COUNT($B$114:B378)+Integration-1))*$F$110,"")</f>
        <v/>
      </c>
      <c r="G379" s="77" t="str">
        <f ca="1">IFERROR(AVERAGE(INDEX(INDIRECT("input!" &amp; $G$112 &amp; ":" &amp; $G$112),FirstRowInput+Integration*COUNT($B$114:B378)):INDEX(INDIRECT("input!" &amp; $G$112 &amp; ":" &amp; $G$112),FirstRowInput+Integration*COUNT($B$114:B378)+Integration-1))*$G$110,"")</f>
        <v/>
      </c>
      <c r="H379" s="77" t="str">
        <f ca="1">IFERROR(AVERAGE(INDEX(INDIRECT("input!" &amp; $H$112 &amp; ":" &amp; $H$112),FirstRowInput+Integration*COUNT($B$114:B378)):INDEX(INDIRECT("input!" &amp; $H$112 &amp; ":" &amp; $H$112),FirstRowInput+Integration*COUNT($B$114:B378)+Integration-1))*$H$110,"")</f>
        <v/>
      </c>
      <c r="I379" s="42">
        <v>267</v>
      </c>
      <c r="K379"/>
      <c r="L379"/>
      <c r="M379"/>
      <c r="N379"/>
      <c r="O379"/>
      <c r="P379"/>
      <c r="Q379"/>
      <c r="R379"/>
      <c r="S379" s="463"/>
      <c r="T379"/>
      <c r="U379"/>
      <c r="V379"/>
      <c r="W379"/>
    </row>
    <row r="380" spans="1:40" x14ac:dyDescent="0.15">
      <c r="A380" s="75">
        <f ca="1">IFERROR(IF(AND(MAX($A$114:A379)&gt;A379+1, MAX($A$114:A379)&gt;20),0,IF(AND(D380="",G380=""),0,IF(OR(D380&gt;LimitSignB10, G380&gt;LimitSignB11),A379+1,0))),"")</f>
        <v>0</v>
      </c>
      <c r="B380" s="76" t="str">
        <f ca="1">IFERROR(MyTime(INDEX(INDIRECT("input!"&amp;$B$112&amp;":"&amp;$B$112),FirstRowInput+Integration*COUNT($B$114:B379)) )* $B$110,"")</f>
        <v/>
      </c>
      <c r="C380" s="77" t="str">
        <f ca="1">IFERROR(AVERAGE(INDEX(INDIRECT("input!" &amp; $C$112 &amp; ":" &amp; $C$112),FirstRowInput+Integration*COUNT($B$114:B379)):INDEX(INDIRECT("input!" &amp; $C$112 &amp; ":" &amp; $C$112),FirstRowInput+Integration*COUNT($B$114:B379)+Integration-1))*$C$110,"")</f>
        <v/>
      </c>
      <c r="D380" s="77" t="str">
        <f ca="1">IFERROR(AVERAGE(INDEX(INDIRECT("input!" &amp; $D$112 &amp; ":" &amp; $D$112),FirstRowInput+Integration*COUNT($B$114:B379)):INDEX(INDIRECT("input!" &amp; $D$112 &amp; ":" &amp; $D$112),FirstRowInput+Integration*COUNT($B$114:B379)+Integration-1))*$D$110,"")</f>
        <v/>
      </c>
      <c r="E380" s="77" t="str">
        <f ca="1">IFERROR(AVERAGE(INDEX(INDIRECT("input!" &amp; $E$112 &amp; ":" &amp; $E$112),FirstRowInput+Integration*COUNT($B$114:B379)):INDEX(INDIRECT("input!" &amp; $E$112 &amp; ":" &amp; $E$112),FirstRowInput+Integration*COUNT($B$114:B379)+Integration-1))*$E$110,"")</f>
        <v/>
      </c>
      <c r="F380" s="77" t="str">
        <f ca="1">IFERROR(AVERAGE(INDEX(INDIRECT("input!" &amp; $F$112 &amp; ":" &amp; $F$112),FirstRowInput+Integration*COUNT($B$114:B379)):INDEX(INDIRECT("input!" &amp; $F$112 &amp; ":" &amp; $F$112),FirstRowInput+Integration*COUNT($B$114:B379)+Integration-1))*$F$110,"")</f>
        <v/>
      </c>
      <c r="G380" s="77" t="str">
        <f ca="1">IFERROR(AVERAGE(INDEX(INDIRECT("input!" &amp; $G$112 &amp; ":" &amp; $G$112),FirstRowInput+Integration*COUNT($B$114:B379)):INDEX(INDIRECT("input!" &amp; $G$112 &amp; ":" &amp; $G$112),FirstRowInput+Integration*COUNT($B$114:B379)+Integration-1))*$G$110,"")</f>
        <v/>
      </c>
      <c r="H380" s="77" t="str">
        <f ca="1">IFERROR(AVERAGE(INDEX(INDIRECT("input!" &amp; $H$112 &amp; ":" &amp; $H$112),FirstRowInput+Integration*COUNT($B$114:B379)):INDEX(INDIRECT("input!" &amp; $H$112 &amp; ":" &amp; $H$112),FirstRowInput+Integration*COUNT($B$114:B379)+Integration-1))*$H$110,"")</f>
        <v/>
      </c>
      <c r="I380" s="42">
        <v>268</v>
      </c>
      <c r="K380"/>
      <c r="L380"/>
      <c r="M380"/>
      <c r="N380"/>
      <c r="O380"/>
      <c r="P380"/>
      <c r="Q380"/>
      <c r="R380"/>
      <c r="S380" s="463"/>
      <c r="T380"/>
      <c r="U380"/>
      <c r="V380"/>
      <c r="W380"/>
    </row>
    <row r="381" spans="1:40" x14ac:dyDescent="0.15">
      <c r="A381" s="75">
        <f ca="1">IFERROR(IF(AND(MAX($A$114:A380)&gt;A380+1, MAX($A$114:A380)&gt;20),0,IF(AND(D381="",G381=""),0,IF(OR(D381&gt;LimitSignB10, G381&gt;LimitSignB11),A380+1,0))),"")</f>
        <v>0</v>
      </c>
      <c r="B381" s="76" t="str">
        <f ca="1">IFERROR(MyTime(INDEX(INDIRECT("input!"&amp;$B$112&amp;":"&amp;$B$112),FirstRowInput+Integration*COUNT($B$114:B380)) )* $B$110,"")</f>
        <v/>
      </c>
      <c r="C381" s="77" t="str">
        <f ca="1">IFERROR(AVERAGE(INDEX(INDIRECT("input!" &amp; $C$112 &amp; ":" &amp; $C$112),FirstRowInput+Integration*COUNT($B$114:B380)):INDEX(INDIRECT("input!" &amp; $C$112 &amp; ":" &amp; $C$112),FirstRowInput+Integration*COUNT($B$114:B380)+Integration-1))*$C$110,"")</f>
        <v/>
      </c>
      <c r="D381" s="77" t="str">
        <f ca="1">IFERROR(AVERAGE(INDEX(INDIRECT("input!" &amp; $D$112 &amp; ":" &amp; $D$112),FirstRowInput+Integration*COUNT($B$114:B380)):INDEX(INDIRECT("input!" &amp; $D$112 &amp; ":" &amp; $D$112),FirstRowInput+Integration*COUNT($B$114:B380)+Integration-1))*$D$110,"")</f>
        <v/>
      </c>
      <c r="E381" s="77" t="str">
        <f ca="1">IFERROR(AVERAGE(INDEX(INDIRECT("input!" &amp; $E$112 &amp; ":" &amp; $E$112),FirstRowInput+Integration*COUNT($B$114:B380)):INDEX(INDIRECT("input!" &amp; $E$112 &amp; ":" &amp; $E$112),FirstRowInput+Integration*COUNT($B$114:B380)+Integration-1))*$E$110,"")</f>
        <v/>
      </c>
      <c r="F381" s="77" t="str">
        <f ca="1">IFERROR(AVERAGE(INDEX(INDIRECT("input!" &amp; $F$112 &amp; ":" &amp; $F$112),FirstRowInput+Integration*COUNT($B$114:B380)):INDEX(INDIRECT("input!" &amp; $F$112 &amp; ":" &amp; $F$112),FirstRowInput+Integration*COUNT($B$114:B380)+Integration-1))*$F$110,"")</f>
        <v/>
      </c>
      <c r="G381" s="77" t="str">
        <f ca="1">IFERROR(AVERAGE(INDEX(INDIRECT("input!" &amp; $G$112 &amp; ":" &amp; $G$112),FirstRowInput+Integration*COUNT($B$114:B380)):INDEX(INDIRECT("input!" &amp; $G$112 &amp; ":" &amp; $G$112),FirstRowInput+Integration*COUNT($B$114:B380)+Integration-1))*$G$110,"")</f>
        <v/>
      </c>
      <c r="H381" s="77" t="str">
        <f ca="1">IFERROR(AVERAGE(INDEX(INDIRECT("input!" &amp; $H$112 &amp; ":" &amp; $H$112),FirstRowInput+Integration*COUNT($B$114:B380)):INDEX(INDIRECT("input!" &amp; $H$112 &amp; ":" &amp; $H$112),FirstRowInput+Integration*COUNT($B$114:B380)+Integration-1))*$H$110,"")</f>
        <v/>
      </c>
      <c r="I381" s="42">
        <v>269</v>
      </c>
      <c r="K381"/>
      <c r="L381"/>
      <c r="M381"/>
      <c r="N381"/>
      <c r="O381"/>
      <c r="P381"/>
      <c r="Q381"/>
      <c r="R381"/>
      <c r="S381" s="463"/>
      <c r="T381"/>
      <c r="U381"/>
      <c r="V381"/>
      <c r="W381"/>
    </row>
    <row r="382" spans="1:40" x14ac:dyDescent="0.15">
      <c r="A382" s="75">
        <f ca="1">IFERROR(IF(AND(MAX($A$114:A381)&gt;A381+1, MAX($A$114:A381)&gt;20),0,IF(AND(D382="",G382=""),0,IF(OR(D382&gt;LimitSignB10, G382&gt;LimitSignB11),A381+1,0))),"")</f>
        <v>0</v>
      </c>
      <c r="B382" s="76" t="str">
        <f ca="1">IFERROR(MyTime(INDEX(INDIRECT("input!"&amp;$B$112&amp;":"&amp;$B$112),FirstRowInput+Integration*COUNT($B$114:B381)) )* $B$110,"")</f>
        <v/>
      </c>
      <c r="C382" s="77" t="str">
        <f ca="1">IFERROR(AVERAGE(INDEX(INDIRECT("input!" &amp; $C$112 &amp; ":" &amp; $C$112),FirstRowInput+Integration*COUNT($B$114:B381)):INDEX(INDIRECT("input!" &amp; $C$112 &amp; ":" &amp; $C$112),FirstRowInput+Integration*COUNT($B$114:B381)+Integration-1))*$C$110,"")</f>
        <v/>
      </c>
      <c r="D382" s="77" t="str">
        <f ca="1">IFERROR(AVERAGE(INDEX(INDIRECT("input!" &amp; $D$112 &amp; ":" &amp; $D$112),FirstRowInput+Integration*COUNT($B$114:B381)):INDEX(INDIRECT("input!" &amp; $D$112 &amp; ":" &amp; $D$112),FirstRowInput+Integration*COUNT($B$114:B381)+Integration-1))*$D$110,"")</f>
        <v/>
      </c>
      <c r="E382" s="77" t="str">
        <f ca="1">IFERROR(AVERAGE(INDEX(INDIRECT("input!" &amp; $E$112 &amp; ":" &amp; $E$112),FirstRowInput+Integration*COUNT($B$114:B381)):INDEX(INDIRECT("input!" &amp; $E$112 &amp; ":" &amp; $E$112),FirstRowInput+Integration*COUNT($B$114:B381)+Integration-1))*$E$110,"")</f>
        <v/>
      </c>
      <c r="F382" s="77" t="str">
        <f ca="1">IFERROR(AVERAGE(INDEX(INDIRECT("input!" &amp; $F$112 &amp; ":" &amp; $F$112),FirstRowInput+Integration*COUNT($B$114:B381)):INDEX(INDIRECT("input!" &amp; $F$112 &amp; ":" &amp; $F$112),FirstRowInput+Integration*COUNT($B$114:B381)+Integration-1))*$F$110,"")</f>
        <v/>
      </c>
      <c r="G382" s="77" t="str">
        <f ca="1">IFERROR(AVERAGE(INDEX(INDIRECT("input!" &amp; $G$112 &amp; ":" &amp; $G$112),FirstRowInput+Integration*COUNT($B$114:B381)):INDEX(INDIRECT("input!" &amp; $G$112 &amp; ":" &amp; $G$112),FirstRowInput+Integration*COUNT($B$114:B381)+Integration-1))*$G$110,"")</f>
        <v/>
      </c>
      <c r="H382" s="77" t="str">
        <f ca="1">IFERROR(AVERAGE(INDEX(INDIRECT("input!" &amp; $H$112 &amp; ":" &amp; $H$112),FirstRowInput+Integration*COUNT($B$114:B381)):INDEX(INDIRECT("input!" &amp; $H$112 &amp; ":" &amp; $H$112),FirstRowInput+Integration*COUNT($B$114:B381)+Integration-1))*$H$110,"")</f>
        <v/>
      </c>
      <c r="I382" s="42">
        <v>270</v>
      </c>
      <c r="K382"/>
      <c r="L382"/>
      <c r="M382"/>
      <c r="N382"/>
      <c r="O382"/>
      <c r="P382"/>
      <c r="Q382"/>
      <c r="R382"/>
      <c r="S382" s="463"/>
      <c r="T382"/>
      <c r="U382"/>
      <c r="V382"/>
      <c r="W382"/>
    </row>
    <row r="383" spans="1:40" x14ac:dyDescent="0.15">
      <c r="A383" s="75">
        <f ca="1">IFERROR(IF(AND(MAX($A$114:A382)&gt;A382+1, MAX($A$114:A382)&gt;20),0,IF(AND(D383="",G383=""),0,IF(OR(D383&gt;LimitSignB10, G383&gt;LimitSignB11),A382+1,0))),"")</f>
        <v>0</v>
      </c>
      <c r="B383" s="76" t="str">
        <f ca="1">IFERROR(MyTime(INDEX(INDIRECT("input!"&amp;$B$112&amp;":"&amp;$B$112),FirstRowInput+Integration*COUNT($B$114:B382)) )* $B$110,"")</f>
        <v/>
      </c>
      <c r="C383" s="77" t="str">
        <f ca="1">IFERROR(AVERAGE(INDEX(INDIRECT("input!" &amp; $C$112 &amp; ":" &amp; $C$112),FirstRowInput+Integration*COUNT($B$114:B382)):INDEX(INDIRECT("input!" &amp; $C$112 &amp; ":" &amp; $C$112),FirstRowInput+Integration*COUNT($B$114:B382)+Integration-1))*$C$110,"")</f>
        <v/>
      </c>
      <c r="D383" s="77" t="str">
        <f ca="1">IFERROR(AVERAGE(INDEX(INDIRECT("input!" &amp; $D$112 &amp; ":" &amp; $D$112),FirstRowInput+Integration*COUNT($B$114:B382)):INDEX(INDIRECT("input!" &amp; $D$112 &amp; ":" &amp; $D$112),FirstRowInput+Integration*COUNT($B$114:B382)+Integration-1))*$D$110,"")</f>
        <v/>
      </c>
      <c r="E383" s="77" t="str">
        <f ca="1">IFERROR(AVERAGE(INDEX(INDIRECT("input!" &amp; $E$112 &amp; ":" &amp; $E$112),FirstRowInput+Integration*COUNT($B$114:B382)):INDEX(INDIRECT("input!" &amp; $E$112 &amp; ":" &amp; $E$112),FirstRowInput+Integration*COUNT($B$114:B382)+Integration-1))*$E$110,"")</f>
        <v/>
      </c>
      <c r="F383" s="77" t="str">
        <f ca="1">IFERROR(AVERAGE(INDEX(INDIRECT("input!" &amp; $F$112 &amp; ":" &amp; $F$112),FirstRowInput+Integration*COUNT($B$114:B382)):INDEX(INDIRECT("input!" &amp; $F$112 &amp; ":" &amp; $F$112),FirstRowInput+Integration*COUNT($B$114:B382)+Integration-1))*$F$110,"")</f>
        <v/>
      </c>
      <c r="G383" s="77" t="str">
        <f ca="1">IFERROR(AVERAGE(INDEX(INDIRECT("input!" &amp; $G$112 &amp; ":" &amp; $G$112),FirstRowInput+Integration*COUNT($B$114:B382)):INDEX(INDIRECT("input!" &amp; $G$112 &amp; ":" &amp; $G$112),FirstRowInput+Integration*COUNT($B$114:B382)+Integration-1))*$G$110,"")</f>
        <v/>
      </c>
      <c r="H383" s="77" t="str">
        <f ca="1">IFERROR(AVERAGE(INDEX(INDIRECT("input!" &amp; $H$112 &amp; ":" &amp; $H$112),FirstRowInput+Integration*COUNT($B$114:B382)):INDEX(INDIRECT("input!" &amp; $H$112 &amp; ":" &amp; $H$112),FirstRowInput+Integration*COUNT($B$114:B382)+Integration-1))*$H$110,"")</f>
        <v/>
      </c>
      <c r="I383" s="42">
        <v>271</v>
      </c>
      <c r="K383"/>
      <c r="L383"/>
      <c r="M383"/>
      <c r="N383"/>
      <c r="O383"/>
      <c r="P383"/>
      <c r="Q383"/>
      <c r="R383"/>
      <c r="S383" s="463"/>
      <c r="T383"/>
      <c r="U383"/>
      <c r="V383"/>
      <c r="W383"/>
    </row>
    <row r="384" spans="1:40" x14ac:dyDescent="0.15">
      <c r="A384" s="75">
        <f ca="1">IFERROR(IF(AND(MAX($A$114:A383)&gt;A383+1, MAX($A$114:A383)&gt;20),0,IF(AND(D384="",G384=""),0,IF(OR(D384&gt;LimitSignB10, G384&gt;LimitSignB11),A383+1,0))),"")</f>
        <v>0</v>
      </c>
      <c r="B384" s="76" t="str">
        <f ca="1">IFERROR(MyTime(INDEX(INDIRECT("input!"&amp;$B$112&amp;":"&amp;$B$112),FirstRowInput+Integration*COUNT($B$114:B383)) )* $B$110,"")</f>
        <v/>
      </c>
      <c r="C384" s="77" t="str">
        <f ca="1">IFERROR(AVERAGE(INDEX(INDIRECT("input!" &amp; $C$112 &amp; ":" &amp; $C$112),FirstRowInput+Integration*COUNT($B$114:B383)):INDEX(INDIRECT("input!" &amp; $C$112 &amp; ":" &amp; $C$112),FirstRowInput+Integration*COUNT($B$114:B383)+Integration-1))*$C$110,"")</f>
        <v/>
      </c>
      <c r="D384" s="77" t="str">
        <f ca="1">IFERROR(AVERAGE(INDEX(INDIRECT("input!" &amp; $D$112 &amp; ":" &amp; $D$112),FirstRowInput+Integration*COUNT($B$114:B383)):INDEX(INDIRECT("input!" &amp; $D$112 &amp; ":" &amp; $D$112),FirstRowInput+Integration*COUNT($B$114:B383)+Integration-1))*$D$110,"")</f>
        <v/>
      </c>
      <c r="E384" s="77" t="str">
        <f ca="1">IFERROR(AVERAGE(INDEX(INDIRECT("input!" &amp; $E$112 &amp; ":" &amp; $E$112),FirstRowInput+Integration*COUNT($B$114:B383)):INDEX(INDIRECT("input!" &amp; $E$112 &amp; ":" &amp; $E$112),FirstRowInput+Integration*COUNT($B$114:B383)+Integration-1))*$E$110,"")</f>
        <v/>
      </c>
      <c r="F384" s="77" t="str">
        <f ca="1">IFERROR(AVERAGE(INDEX(INDIRECT("input!" &amp; $F$112 &amp; ":" &amp; $F$112),FirstRowInput+Integration*COUNT($B$114:B383)):INDEX(INDIRECT("input!" &amp; $F$112 &amp; ":" &amp; $F$112),FirstRowInput+Integration*COUNT($B$114:B383)+Integration-1))*$F$110,"")</f>
        <v/>
      </c>
      <c r="G384" s="77" t="str">
        <f ca="1">IFERROR(AVERAGE(INDEX(INDIRECT("input!" &amp; $G$112 &amp; ":" &amp; $G$112),FirstRowInput+Integration*COUNT($B$114:B383)):INDEX(INDIRECT("input!" &amp; $G$112 &amp; ":" &amp; $G$112),FirstRowInput+Integration*COUNT($B$114:B383)+Integration-1))*$G$110,"")</f>
        <v/>
      </c>
      <c r="H384" s="77" t="str">
        <f ca="1">IFERROR(AVERAGE(INDEX(INDIRECT("input!" &amp; $H$112 &amp; ":" &amp; $H$112),FirstRowInput+Integration*COUNT($B$114:B383)):INDEX(INDIRECT("input!" &amp; $H$112 &amp; ":" &amp; $H$112),FirstRowInput+Integration*COUNT($B$114:B383)+Integration-1))*$H$110,"")</f>
        <v/>
      </c>
      <c r="I384" s="42">
        <v>272</v>
      </c>
      <c r="K384"/>
      <c r="L384"/>
      <c r="M384"/>
      <c r="N384"/>
      <c r="O384"/>
      <c r="P384"/>
      <c r="Q384"/>
      <c r="R384"/>
      <c r="S384" s="463"/>
      <c r="T384"/>
      <c r="U384"/>
      <c r="V384"/>
      <c r="W384"/>
    </row>
    <row r="385" spans="1:23" x14ac:dyDescent="0.15">
      <c r="A385" s="75">
        <f ca="1">IFERROR(IF(AND(MAX($A$114:A384)&gt;A384+1, MAX($A$114:A384)&gt;20),0,IF(AND(D385="",G385=""),0,IF(OR(D385&gt;LimitSignB10, G385&gt;LimitSignB11),A384+1,0))),"")</f>
        <v>0</v>
      </c>
      <c r="B385" s="76" t="str">
        <f ca="1">IFERROR(MyTime(INDEX(INDIRECT("input!"&amp;$B$112&amp;":"&amp;$B$112),FirstRowInput+Integration*COUNT($B$114:B384)) )* $B$110,"")</f>
        <v/>
      </c>
      <c r="C385" s="77" t="str">
        <f ca="1">IFERROR(AVERAGE(INDEX(INDIRECT("input!" &amp; $C$112 &amp; ":" &amp; $C$112),FirstRowInput+Integration*COUNT($B$114:B384)):INDEX(INDIRECT("input!" &amp; $C$112 &amp; ":" &amp; $C$112),FirstRowInput+Integration*COUNT($B$114:B384)+Integration-1))*$C$110,"")</f>
        <v/>
      </c>
      <c r="D385" s="77" t="str">
        <f ca="1">IFERROR(AVERAGE(INDEX(INDIRECT("input!" &amp; $D$112 &amp; ":" &amp; $D$112),FirstRowInput+Integration*COUNT($B$114:B384)):INDEX(INDIRECT("input!" &amp; $D$112 &amp; ":" &amp; $D$112),FirstRowInput+Integration*COUNT($B$114:B384)+Integration-1))*$D$110,"")</f>
        <v/>
      </c>
      <c r="E385" s="77" t="str">
        <f ca="1">IFERROR(AVERAGE(INDEX(INDIRECT("input!" &amp; $E$112 &amp; ":" &amp; $E$112),FirstRowInput+Integration*COUNT($B$114:B384)):INDEX(INDIRECT("input!" &amp; $E$112 &amp; ":" &amp; $E$112),FirstRowInput+Integration*COUNT($B$114:B384)+Integration-1))*$E$110,"")</f>
        <v/>
      </c>
      <c r="F385" s="77" t="str">
        <f ca="1">IFERROR(AVERAGE(INDEX(INDIRECT("input!" &amp; $F$112 &amp; ":" &amp; $F$112),FirstRowInput+Integration*COUNT($B$114:B384)):INDEX(INDIRECT("input!" &amp; $F$112 &amp; ":" &amp; $F$112),FirstRowInput+Integration*COUNT($B$114:B384)+Integration-1))*$F$110,"")</f>
        <v/>
      </c>
      <c r="G385" s="77" t="str">
        <f ca="1">IFERROR(AVERAGE(INDEX(INDIRECT("input!" &amp; $G$112 &amp; ":" &amp; $G$112),FirstRowInput+Integration*COUNT($B$114:B384)):INDEX(INDIRECT("input!" &amp; $G$112 &amp; ":" &amp; $G$112),FirstRowInput+Integration*COUNT($B$114:B384)+Integration-1))*$G$110,"")</f>
        <v/>
      </c>
      <c r="H385" s="77" t="str">
        <f ca="1">IFERROR(AVERAGE(INDEX(INDIRECT("input!" &amp; $H$112 &amp; ":" &amp; $H$112),FirstRowInput+Integration*COUNT($B$114:B384)):INDEX(INDIRECT("input!" &amp; $H$112 &amp; ":" &amp; $H$112),FirstRowInput+Integration*COUNT($B$114:B384)+Integration-1))*$H$110,"")</f>
        <v/>
      </c>
      <c r="I385" s="42">
        <v>273</v>
      </c>
      <c r="K385"/>
      <c r="L385"/>
      <c r="M385"/>
      <c r="N385"/>
      <c r="O385"/>
      <c r="P385"/>
      <c r="Q385"/>
      <c r="R385"/>
      <c r="S385" s="463"/>
      <c r="T385"/>
      <c r="U385"/>
      <c r="V385"/>
      <c r="W385"/>
    </row>
    <row r="386" spans="1:23" x14ac:dyDescent="0.15">
      <c r="A386" s="75">
        <f ca="1">IFERROR(IF(AND(MAX($A$114:A385)&gt;A385+1, MAX($A$114:A385)&gt;20),0,IF(AND(D386="",G386=""),0,IF(OR(D386&gt;LimitSignB10, G386&gt;LimitSignB11),A385+1,0))),"")</f>
        <v>0</v>
      </c>
      <c r="B386" s="76" t="str">
        <f ca="1">IFERROR(MyTime(INDEX(INDIRECT("input!"&amp;$B$112&amp;":"&amp;$B$112),FirstRowInput+Integration*COUNT($B$114:B385)) )* $B$110,"")</f>
        <v/>
      </c>
      <c r="C386" s="77" t="str">
        <f ca="1">IFERROR(AVERAGE(INDEX(INDIRECT("input!" &amp; $C$112 &amp; ":" &amp; $C$112),FirstRowInput+Integration*COUNT($B$114:B385)):INDEX(INDIRECT("input!" &amp; $C$112 &amp; ":" &amp; $C$112),FirstRowInput+Integration*COUNT($B$114:B385)+Integration-1))*$C$110,"")</f>
        <v/>
      </c>
      <c r="D386" s="77" t="str">
        <f ca="1">IFERROR(AVERAGE(INDEX(INDIRECT("input!" &amp; $D$112 &amp; ":" &amp; $D$112),FirstRowInput+Integration*COUNT($B$114:B385)):INDEX(INDIRECT("input!" &amp; $D$112 &amp; ":" &amp; $D$112),FirstRowInput+Integration*COUNT($B$114:B385)+Integration-1))*$D$110,"")</f>
        <v/>
      </c>
      <c r="E386" s="77" t="str">
        <f ca="1">IFERROR(AVERAGE(INDEX(INDIRECT("input!" &amp; $E$112 &amp; ":" &amp; $E$112),FirstRowInput+Integration*COUNT($B$114:B385)):INDEX(INDIRECT("input!" &amp; $E$112 &amp; ":" &amp; $E$112),FirstRowInput+Integration*COUNT($B$114:B385)+Integration-1))*$E$110,"")</f>
        <v/>
      </c>
      <c r="F386" s="77" t="str">
        <f ca="1">IFERROR(AVERAGE(INDEX(INDIRECT("input!" &amp; $F$112 &amp; ":" &amp; $F$112),FirstRowInput+Integration*COUNT($B$114:B385)):INDEX(INDIRECT("input!" &amp; $F$112 &amp; ":" &amp; $F$112),FirstRowInput+Integration*COUNT($B$114:B385)+Integration-1))*$F$110,"")</f>
        <v/>
      </c>
      <c r="G386" s="77" t="str">
        <f ca="1">IFERROR(AVERAGE(INDEX(INDIRECT("input!" &amp; $G$112 &amp; ":" &amp; $G$112),FirstRowInput+Integration*COUNT($B$114:B385)):INDEX(INDIRECT("input!" &amp; $G$112 &amp; ":" &amp; $G$112),FirstRowInput+Integration*COUNT($B$114:B385)+Integration-1))*$G$110,"")</f>
        <v/>
      </c>
      <c r="H386" s="77" t="str">
        <f ca="1">IFERROR(AVERAGE(INDEX(INDIRECT("input!" &amp; $H$112 &amp; ":" &amp; $H$112),FirstRowInput+Integration*COUNT($B$114:B385)):INDEX(INDIRECT("input!" &amp; $H$112 &amp; ":" &amp; $H$112),FirstRowInput+Integration*COUNT($B$114:B385)+Integration-1))*$H$110,"")</f>
        <v/>
      </c>
      <c r="I386" s="42">
        <v>274</v>
      </c>
      <c r="K386"/>
      <c r="L386"/>
      <c r="M386"/>
      <c r="N386"/>
      <c r="O386"/>
      <c r="P386"/>
      <c r="Q386"/>
      <c r="R386"/>
      <c r="S386" s="463"/>
      <c r="T386"/>
      <c r="U386"/>
      <c r="V386"/>
      <c r="W386"/>
    </row>
    <row r="387" spans="1:23" x14ac:dyDescent="0.15">
      <c r="A387" s="75">
        <f ca="1">IFERROR(IF(AND(MAX($A$114:A386)&gt;A386+1, MAX($A$114:A386)&gt;20),0,IF(AND(D387="",G387=""),0,IF(OR(D387&gt;LimitSignB10, G387&gt;LimitSignB11),A386+1,0))),"")</f>
        <v>0</v>
      </c>
      <c r="B387" s="76" t="str">
        <f ca="1">IFERROR(MyTime(INDEX(INDIRECT("input!"&amp;$B$112&amp;":"&amp;$B$112),FirstRowInput+Integration*COUNT($B$114:B386)) )* $B$110,"")</f>
        <v/>
      </c>
      <c r="C387" s="77" t="str">
        <f ca="1">IFERROR(AVERAGE(INDEX(INDIRECT("input!" &amp; $C$112 &amp; ":" &amp; $C$112),FirstRowInput+Integration*COUNT($B$114:B386)):INDEX(INDIRECT("input!" &amp; $C$112 &amp; ":" &amp; $C$112),FirstRowInput+Integration*COUNT($B$114:B386)+Integration-1))*$C$110,"")</f>
        <v/>
      </c>
      <c r="D387" s="77" t="str">
        <f ca="1">IFERROR(AVERAGE(INDEX(INDIRECT("input!" &amp; $D$112 &amp; ":" &amp; $D$112),FirstRowInput+Integration*COUNT($B$114:B386)):INDEX(INDIRECT("input!" &amp; $D$112 &amp; ":" &amp; $D$112),FirstRowInput+Integration*COUNT($B$114:B386)+Integration-1))*$D$110,"")</f>
        <v/>
      </c>
      <c r="E387" s="77" t="str">
        <f ca="1">IFERROR(AVERAGE(INDEX(INDIRECT("input!" &amp; $E$112 &amp; ":" &amp; $E$112),FirstRowInput+Integration*COUNT($B$114:B386)):INDEX(INDIRECT("input!" &amp; $E$112 &amp; ":" &amp; $E$112),FirstRowInput+Integration*COUNT($B$114:B386)+Integration-1))*$E$110,"")</f>
        <v/>
      </c>
      <c r="F387" s="77" t="str">
        <f ca="1">IFERROR(AVERAGE(INDEX(INDIRECT("input!" &amp; $F$112 &amp; ":" &amp; $F$112),FirstRowInput+Integration*COUNT($B$114:B386)):INDEX(INDIRECT("input!" &amp; $F$112 &amp; ":" &amp; $F$112),FirstRowInput+Integration*COUNT($B$114:B386)+Integration-1))*$F$110,"")</f>
        <v/>
      </c>
      <c r="G387" s="77" t="str">
        <f ca="1">IFERROR(AVERAGE(INDEX(INDIRECT("input!" &amp; $G$112 &amp; ":" &amp; $G$112),FirstRowInput+Integration*COUNT($B$114:B386)):INDEX(INDIRECT("input!" &amp; $G$112 &amp; ":" &amp; $G$112),FirstRowInput+Integration*COUNT($B$114:B386)+Integration-1))*$G$110,"")</f>
        <v/>
      </c>
      <c r="H387" s="77" t="str">
        <f ca="1">IFERROR(AVERAGE(INDEX(INDIRECT("input!" &amp; $H$112 &amp; ":" &amp; $H$112),FirstRowInput+Integration*COUNT($B$114:B386)):INDEX(INDIRECT("input!" &amp; $H$112 &amp; ":" &amp; $H$112),FirstRowInput+Integration*COUNT($B$114:B386)+Integration-1))*$H$110,"")</f>
        <v/>
      </c>
      <c r="I387" s="42">
        <v>275</v>
      </c>
      <c r="K387"/>
      <c r="L387"/>
      <c r="M387"/>
      <c r="N387"/>
      <c r="O387"/>
      <c r="P387"/>
      <c r="Q387"/>
      <c r="R387"/>
      <c r="S387" s="463"/>
      <c r="T387"/>
      <c r="U387"/>
      <c r="V387"/>
      <c r="W387"/>
    </row>
    <row r="388" spans="1:23" x14ac:dyDescent="0.15">
      <c r="A388" s="75">
        <f ca="1">IFERROR(IF(AND(MAX($A$114:A387)&gt;A387+1, MAX($A$114:A387)&gt;20),0,IF(AND(D388="",G388=""),0,IF(OR(D388&gt;LimitSignB10, G388&gt;LimitSignB11),A387+1,0))),"")</f>
        <v>0</v>
      </c>
      <c r="B388" s="76" t="str">
        <f ca="1">IFERROR(MyTime(INDEX(INDIRECT("input!"&amp;$B$112&amp;":"&amp;$B$112),FirstRowInput+Integration*COUNT($B$114:B387)) )* $B$110,"")</f>
        <v/>
      </c>
      <c r="C388" s="77" t="str">
        <f ca="1">IFERROR(AVERAGE(INDEX(INDIRECT("input!" &amp; $C$112 &amp; ":" &amp; $C$112),FirstRowInput+Integration*COUNT($B$114:B387)):INDEX(INDIRECT("input!" &amp; $C$112 &amp; ":" &amp; $C$112),FirstRowInput+Integration*COUNT($B$114:B387)+Integration-1))*$C$110,"")</f>
        <v/>
      </c>
      <c r="D388" s="77" t="str">
        <f ca="1">IFERROR(AVERAGE(INDEX(INDIRECT("input!" &amp; $D$112 &amp; ":" &amp; $D$112),FirstRowInput+Integration*COUNT($B$114:B387)):INDEX(INDIRECT("input!" &amp; $D$112 &amp; ":" &amp; $D$112),FirstRowInput+Integration*COUNT($B$114:B387)+Integration-1))*$D$110,"")</f>
        <v/>
      </c>
      <c r="E388" s="77" t="str">
        <f ca="1">IFERROR(AVERAGE(INDEX(INDIRECT("input!" &amp; $E$112 &amp; ":" &amp; $E$112),FirstRowInput+Integration*COUNT($B$114:B387)):INDEX(INDIRECT("input!" &amp; $E$112 &amp; ":" &amp; $E$112),FirstRowInput+Integration*COUNT($B$114:B387)+Integration-1))*$E$110,"")</f>
        <v/>
      </c>
      <c r="F388" s="77" t="str">
        <f ca="1">IFERROR(AVERAGE(INDEX(INDIRECT("input!" &amp; $F$112 &amp; ":" &amp; $F$112),FirstRowInput+Integration*COUNT($B$114:B387)):INDEX(INDIRECT("input!" &amp; $F$112 &amp; ":" &amp; $F$112),FirstRowInput+Integration*COUNT($B$114:B387)+Integration-1))*$F$110,"")</f>
        <v/>
      </c>
      <c r="G388" s="77" t="str">
        <f ca="1">IFERROR(AVERAGE(INDEX(INDIRECT("input!" &amp; $G$112 &amp; ":" &amp; $G$112),FirstRowInput+Integration*COUNT($B$114:B387)):INDEX(INDIRECT("input!" &amp; $G$112 &amp; ":" &amp; $G$112),FirstRowInput+Integration*COUNT($B$114:B387)+Integration-1))*$G$110,"")</f>
        <v/>
      </c>
      <c r="H388" s="77" t="str">
        <f ca="1">IFERROR(AVERAGE(INDEX(INDIRECT("input!" &amp; $H$112 &amp; ":" &amp; $H$112),FirstRowInput+Integration*COUNT($B$114:B387)):INDEX(INDIRECT("input!" &amp; $H$112 &amp; ":" &amp; $H$112),FirstRowInput+Integration*COUNT($B$114:B387)+Integration-1))*$H$110,"")</f>
        <v/>
      </c>
      <c r="I388" s="42">
        <v>276</v>
      </c>
      <c r="K388"/>
      <c r="L388"/>
      <c r="M388"/>
      <c r="N388"/>
      <c r="O388"/>
      <c r="P388"/>
      <c r="Q388"/>
      <c r="R388"/>
      <c r="S388" s="463"/>
      <c r="T388"/>
      <c r="U388"/>
      <c r="V388"/>
      <c r="W388"/>
    </row>
    <row r="389" spans="1:23" x14ac:dyDescent="0.15">
      <c r="A389" s="75">
        <f ca="1">IFERROR(IF(AND(MAX($A$114:A388)&gt;A388+1, MAX($A$114:A388)&gt;20),0,IF(AND(D389="",G389=""),0,IF(OR(D389&gt;LimitSignB10, G389&gt;LimitSignB11),A388+1,0))),"")</f>
        <v>0</v>
      </c>
      <c r="B389" s="76" t="str">
        <f ca="1">IFERROR(MyTime(INDEX(INDIRECT("input!"&amp;$B$112&amp;":"&amp;$B$112),FirstRowInput+Integration*COUNT($B$114:B388)) )* $B$110,"")</f>
        <v/>
      </c>
      <c r="C389" s="77" t="str">
        <f ca="1">IFERROR(AVERAGE(INDEX(INDIRECT("input!" &amp; $C$112 &amp; ":" &amp; $C$112),FirstRowInput+Integration*COUNT($B$114:B388)):INDEX(INDIRECT("input!" &amp; $C$112 &amp; ":" &amp; $C$112),FirstRowInput+Integration*COUNT($B$114:B388)+Integration-1))*$C$110,"")</f>
        <v/>
      </c>
      <c r="D389" s="77" t="str">
        <f ca="1">IFERROR(AVERAGE(INDEX(INDIRECT("input!" &amp; $D$112 &amp; ":" &amp; $D$112),FirstRowInput+Integration*COUNT($B$114:B388)):INDEX(INDIRECT("input!" &amp; $D$112 &amp; ":" &amp; $D$112),FirstRowInput+Integration*COUNT($B$114:B388)+Integration-1))*$D$110,"")</f>
        <v/>
      </c>
      <c r="E389" s="77" t="str">
        <f ca="1">IFERROR(AVERAGE(INDEX(INDIRECT("input!" &amp; $E$112 &amp; ":" &amp; $E$112),FirstRowInput+Integration*COUNT($B$114:B388)):INDEX(INDIRECT("input!" &amp; $E$112 &amp; ":" &amp; $E$112),FirstRowInput+Integration*COUNT($B$114:B388)+Integration-1))*$E$110,"")</f>
        <v/>
      </c>
      <c r="F389" s="77" t="str">
        <f ca="1">IFERROR(AVERAGE(INDEX(INDIRECT("input!" &amp; $F$112 &amp; ":" &amp; $F$112),FirstRowInput+Integration*COUNT($B$114:B388)):INDEX(INDIRECT("input!" &amp; $F$112 &amp; ":" &amp; $F$112),FirstRowInput+Integration*COUNT($B$114:B388)+Integration-1))*$F$110,"")</f>
        <v/>
      </c>
      <c r="G389" s="77" t="str">
        <f ca="1">IFERROR(AVERAGE(INDEX(INDIRECT("input!" &amp; $G$112 &amp; ":" &amp; $G$112),FirstRowInput+Integration*COUNT($B$114:B388)):INDEX(INDIRECT("input!" &amp; $G$112 &amp; ":" &amp; $G$112),FirstRowInput+Integration*COUNT($B$114:B388)+Integration-1))*$G$110,"")</f>
        <v/>
      </c>
      <c r="H389" s="77" t="str">
        <f ca="1">IFERROR(AVERAGE(INDEX(INDIRECT("input!" &amp; $H$112 &amp; ":" &amp; $H$112),FirstRowInput+Integration*COUNT($B$114:B388)):INDEX(INDIRECT("input!" &amp; $H$112 &amp; ":" &amp; $H$112),FirstRowInput+Integration*COUNT($B$114:B388)+Integration-1))*$H$110,"")</f>
        <v/>
      </c>
      <c r="I389" s="42">
        <v>277</v>
      </c>
      <c r="K389"/>
      <c r="L389"/>
      <c r="M389"/>
      <c r="N389"/>
      <c r="O389"/>
      <c r="P389"/>
      <c r="Q389"/>
      <c r="R389"/>
      <c r="S389" s="463"/>
      <c r="T389"/>
      <c r="U389"/>
      <c r="V389"/>
      <c r="W389"/>
    </row>
    <row r="390" spans="1:23" x14ac:dyDescent="0.15">
      <c r="A390" s="75">
        <f ca="1">IFERROR(IF(AND(MAX($A$114:A389)&gt;A389+1, MAX($A$114:A389)&gt;20),0,IF(AND(D390="",G390=""),0,IF(OR(D390&gt;LimitSignB10, G390&gt;LimitSignB11),A389+1,0))),"")</f>
        <v>0</v>
      </c>
      <c r="B390" s="76" t="str">
        <f ca="1">IFERROR(MyTime(INDEX(INDIRECT("input!"&amp;$B$112&amp;":"&amp;$B$112),FirstRowInput+Integration*COUNT($B$114:B389)) )* $B$110,"")</f>
        <v/>
      </c>
      <c r="C390" s="77" t="str">
        <f ca="1">IFERROR(AVERAGE(INDEX(INDIRECT("input!" &amp; $C$112 &amp; ":" &amp; $C$112),FirstRowInput+Integration*COUNT($B$114:B389)):INDEX(INDIRECT("input!" &amp; $C$112 &amp; ":" &amp; $C$112),FirstRowInput+Integration*COUNT($B$114:B389)+Integration-1))*$C$110,"")</f>
        <v/>
      </c>
      <c r="D390" s="77" t="str">
        <f ca="1">IFERROR(AVERAGE(INDEX(INDIRECT("input!" &amp; $D$112 &amp; ":" &amp; $D$112),FirstRowInput+Integration*COUNT($B$114:B389)):INDEX(INDIRECT("input!" &amp; $D$112 &amp; ":" &amp; $D$112),FirstRowInput+Integration*COUNT($B$114:B389)+Integration-1))*$D$110,"")</f>
        <v/>
      </c>
      <c r="E390" s="77" t="str">
        <f ca="1">IFERROR(AVERAGE(INDEX(INDIRECT("input!" &amp; $E$112 &amp; ":" &amp; $E$112),FirstRowInput+Integration*COUNT($B$114:B389)):INDEX(INDIRECT("input!" &amp; $E$112 &amp; ":" &amp; $E$112),FirstRowInput+Integration*COUNT($B$114:B389)+Integration-1))*$E$110,"")</f>
        <v/>
      </c>
      <c r="F390" s="77" t="str">
        <f ca="1">IFERROR(AVERAGE(INDEX(INDIRECT("input!" &amp; $F$112 &amp; ":" &amp; $F$112),FirstRowInput+Integration*COUNT($B$114:B389)):INDEX(INDIRECT("input!" &amp; $F$112 &amp; ":" &amp; $F$112),FirstRowInput+Integration*COUNT($B$114:B389)+Integration-1))*$F$110,"")</f>
        <v/>
      </c>
      <c r="G390" s="77" t="str">
        <f ca="1">IFERROR(AVERAGE(INDEX(INDIRECT("input!" &amp; $G$112 &amp; ":" &amp; $G$112),FirstRowInput+Integration*COUNT($B$114:B389)):INDEX(INDIRECT("input!" &amp; $G$112 &amp; ":" &amp; $G$112),FirstRowInput+Integration*COUNT($B$114:B389)+Integration-1))*$G$110,"")</f>
        <v/>
      </c>
      <c r="H390" s="77" t="str">
        <f ca="1">IFERROR(AVERAGE(INDEX(INDIRECT("input!" &amp; $H$112 &amp; ":" &amp; $H$112),FirstRowInput+Integration*COUNT($B$114:B389)):INDEX(INDIRECT("input!" &amp; $H$112 &amp; ":" &amp; $H$112),FirstRowInput+Integration*COUNT($B$114:B389)+Integration-1))*$H$110,"")</f>
        <v/>
      </c>
      <c r="I390" s="42">
        <v>278</v>
      </c>
      <c r="K390"/>
      <c r="L390"/>
      <c r="M390"/>
      <c r="N390"/>
      <c r="O390"/>
      <c r="P390"/>
      <c r="Q390"/>
      <c r="R390"/>
      <c r="S390" s="463"/>
      <c r="T390"/>
      <c r="U390"/>
      <c r="V390"/>
      <c r="W390"/>
    </row>
    <row r="391" spans="1:23" x14ac:dyDescent="0.15">
      <c r="A391" s="75">
        <f ca="1">IFERROR(IF(AND(MAX($A$114:A390)&gt;A390+1, MAX($A$114:A390)&gt;20),0,IF(AND(D391="",G391=""),0,IF(OR(D391&gt;LimitSignB10, G391&gt;LimitSignB11),A390+1,0))),"")</f>
        <v>0</v>
      </c>
      <c r="B391" s="76" t="str">
        <f ca="1">IFERROR(MyTime(INDEX(INDIRECT("input!"&amp;$B$112&amp;":"&amp;$B$112),FirstRowInput+Integration*COUNT($B$114:B390)) )* $B$110,"")</f>
        <v/>
      </c>
      <c r="C391" s="77" t="str">
        <f ca="1">IFERROR(AVERAGE(INDEX(INDIRECT("input!" &amp; $C$112 &amp; ":" &amp; $C$112),FirstRowInput+Integration*COUNT($B$114:B390)):INDEX(INDIRECT("input!" &amp; $C$112 &amp; ":" &amp; $C$112),FirstRowInput+Integration*COUNT($B$114:B390)+Integration-1))*$C$110,"")</f>
        <v/>
      </c>
      <c r="D391" s="77" t="str">
        <f ca="1">IFERROR(AVERAGE(INDEX(INDIRECT("input!" &amp; $D$112 &amp; ":" &amp; $D$112),FirstRowInput+Integration*COUNT($B$114:B390)):INDEX(INDIRECT("input!" &amp; $D$112 &amp; ":" &amp; $D$112),FirstRowInput+Integration*COUNT($B$114:B390)+Integration-1))*$D$110,"")</f>
        <v/>
      </c>
      <c r="E391" s="77" t="str">
        <f ca="1">IFERROR(AVERAGE(INDEX(INDIRECT("input!" &amp; $E$112 &amp; ":" &amp; $E$112),FirstRowInput+Integration*COUNT($B$114:B390)):INDEX(INDIRECT("input!" &amp; $E$112 &amp; ":" &amp; $E$112),FirstRowInput+Integration*COUNT($B$114:B390)+Integration-1))*$E$110,"")</f>
        <v/>
      </c>
      <c r="F391" s="77" t="str">
        <f ca="1">IFERROR(AVERAGE(INDEX(INDIRECT("input!" &amp; $F$112 &amp; ":" &amp; $F$112),FirstRowInput+Integration*COUNT($B$114:B390)):INDEX(INDIRECT("input!" &amp; $F$112 &amp; ":" &amp; $F$112),FirstRowInput+Integration*COUNT($B$114:B390)+Integration-1))*$F$110,"")</f>
        <v/>
      </c>
      <c r="G391" s="77" t="str">
        <f ca="1">IFERROR(AVERAGE(INDEX(INDIRECT("input!" &amp; $G$112 &amp; ":" &amp; $G$112),FirstRowInput+Integration*COUNT($B$114:B390)):INDEX(INDIRECT("input!" &amp; $G$112 &amp; ":" &amp; $G$112),FirstRowInput+Integration*COUNT($B$114:B390)+Integration-1))*$G$110,"")</f>
        <v/>
      </c>
      <c r="H391" s="77" t="str">
        <f ca="1">IFERROR(AVERAGE(INDEX(INDIRECT("input!" &amp; $H$112 &amp; ":" &amp; $H$112),FirstRowInput+Integration*COUNT($B$114:B390)):INDEX(INDIRECT("input!" &amp; $H$112 &amp; ":" &amp; $H$112),FirstRowInput+Integration*COUNT($B$114:B390)+Integration-1))*$H$110,"")</f>
        <v/>
      </c>
      <c r="I391" s="42">
        <v>279</v>
      </c>
      <c r="K391"/>
      <c r="L391"/>
      <c r="M391"/>
      <c r="N391"/>
      <c r="O391"/>
      <c r="P391"/>
      <c r="Q391"/>
      <c r="R391"/>
      <c r="S391" s="463"/>
      <c r="T391"/>
      <c r="U391"/>
      <c r="V391"/>
      <c r="W391"/>
    </row>
    <row r="392" spans="1:23" x14ac:dyDescent="0.15">
      <c r="A392" s="75">
        <f ca="1">IFERROR(IF(AND(MAX($A$114:A391)&gt;A391+1, MAX($A$114:A391)&gt;20),0,IF(AND(D392="",G392=""),0,IF(OR(D392&gt;LimitSignB10, G392&gt;LimitSignB11),A391+1,0))),"")</f>
        <v>0</v>
      </c>
      <c r="B392" s="76" t="str">
        <f ca="1">IFERROR(MyTime(INDEX(INDIRECT("input!"&amp;$B$112&amp;":"&amp;$B$112),FirstRowInput+Integration*COUNT($B$114:B391)) )* $B$110,"")</f>
        <v/>
      </c>
      <c r="C392" s="77" t="str">
        <f ca="1">IFERROR(AVERAGE(INDEX(INDIRECT("input!" &amp; $C$112 &amp; ":" &amp; $C$112),FirstRowInput+Integration*COUNT($B$114:B391)):INDEX(INDIRECT("input!" &amp; $C$112 &amp; ":" &amp; $C$112),FirstRowInput+Integration*COUNT($B$114:B391)+Integration-1))*$C$110,"")</f>
        <v/>
      </c>
      <c r="D392" s="77" t="str">
        <f ca="1">IFERROR(AVERAGE(INDEX(INDIRECT("input!" &amp; $D$112 &amp; ":" &amp; $D$112),FirstRowInput+Integration*COUNT($B$114:B391)):INDEX(INDIRECT("input!" &amp; $D$112 &amp; ":" &amp; $D$112),FirstRowInput+Integration*COUNT($B$114:B391)+Integration-1))*$D$110,"")</f>
        <v/>
      </c>
      <c r="E392" s="77" t="str">
        <f ca="1">IFERROR(AVERAGE(INDEX(INDIRECT("input!" &amp; $E$112 &amp; ":" &amp; $E$112),FirstRowInput+Integration*COUNT($B$114:B391)):INDEX(INDIRECT("input!" &amp; $E$112 &amp; ":" &amp; $E$112),FirstRowInput+Integration*COUNT($B$114:B391)+Integration-1))*$E$110,"")</f>
        <v/>
      </c>
      <c r="F392" s="77" t="str">
        <f ca="1">IFERROR(AVERAGE(INDEX(INDIRECT("input!" &amp; $F$112 &amp; ":" &amp; $F$112),FirstRowInput+Integration*COUNT($B$114:B391)):INDEX(INDIRECT("input!" &amp; $F$112 &amp; ":" &amp; $F$112),FirstRowInput+Integration*COUNT($B$114:B391)+Integration-1))*$F$110,"")</f>
        <v/>
      </c>
      <c r="G392" s="77" t="str">
        <f ca="1">IFERROR(AVERAGE(INDEX(INDIRECT("input!" &amp; $G$112 &amp; ":" &amp; $G$112),FirstRowInput+Integration*COUNT($B$114:B391)):INDEX(INDIRECT("input!" &amp; $G$112 &amp; ":" &amp; $G$112),FirstRowInput+Integration*COUNT($B$114:B391)+Integration-1))*$G$110,"")</f>
        <v/>
      </c>
      <c r="H392" s="77" t="str">
        <f ca="1">IFERROR(AVERAGE(INDEX(INDIRECT("input!" &amp; $H$112 &amp; ":" &amp; $H$112),FirstRowInput+Integration*COUNT($B$114:B391)):INDEX(INDIRECT("input!" &amp; $H$112 &amp; ":" &amp; $H$112),FirstRowInput+Integration*COUNT($B$114:B391)+Integration-1))*$H$110,"")</f>
        <v/>
      </c>
      <c r="I392" s="42">
        <v>280</v>
      </c>
      <c r="K392"/>
      <c r="L392"/>
      <c r="M392"/>
      <c r="N392"/>
      <c r="O392"/>
      <c r="P392"/>
      <c r="Q392"/>
      <c r="R392"/>
      <c r="S392" s="463"/>
    </row>
    <row r="393" spans="1:23" x14ac:dyDescent="0.15">
      <c r="A393" s="75">
        <f ca="1">IFERROR(IF(AND(MAX($A$114:A392)&gt;A392+1, MAX($A$114:A392)&gt;20),0,IF(AND(D393="",G393=""),0,IF(OR(D393&gt;LimitSignB10, G393&gt;LimitSignB11),A392+1,0))),"")</f>
        <v>0</v>
      </c>
      <c r="B393" s="76" t="str">
        <f ca="1">IFERROR(MyTime(INDEX(INDIRECT("input!"&amp;$B$112&amp;":"&amp;$B$112),FirstRowInput+Integration*COUNT($B$114:B392)) )* $B$110,"")</f>
        <v/>
      </c>
      <c r="C393" s="77" t="str">
        <f ca="1">IFERROR(AVERAGE(INDEX(INDIRECT("input!" &amp; $C$112 &amp; ":" &amp; $C$112),FirstRowInput+Integration*COUNT($B$114:B392)):INDEX(INDIRECT("input!" &amp; $C$112 &amp; ":" &amp; $C$112),FirstRowInput+Integration*COUNT($B$114:B392)+Integration-1))*$C$110,"")</f>
        <v/>
      </c>
      <c r="D393" s="77" t="str">
        <f ca="1">IFERROR(AVERAGE(INDEX(INDIRECT("input!" &amp; $D$112 &amp; ":" &amp; $D$112),FirstRowInput+Integration*COUNT($B$114:B392)):INDEX(INDIRECT("input!" &amp; $D$112 &amp; ":" &amp; $D$112),FirstRowInput+Integration*COUNT($B$114:B392)+Integration-1))*$D$110,"")</f>
        <v/>
      </c>
      <c r="E393" s="77" t="str">
        <f ca="1">IFERROR(AVERAGE(INDEX(INDIRECT("input!" &amp; $E$112 &amp; ":" &amp; $E$112),FirstRowInput+Integration*COUNT($B$114:B392)):INDEX(INDIRECT("input!" &amp; $E$112 &amp; ":" &amp; $E$112),FirstRowInput+Integration*COUNT($B$114:B392)+Integration-1))*$E$110,"")</f>
        <v/>
      </c>
      <c r="F393" s="77" t="str">
        <f ca="1">IFERROR(AVERAGE(INDEX(INDIRECT("input!" &amp; $F$112 &amp; ":" &amp; $F$112),FirstRowInput+Integration*COUNT($B$114:B392)):INDEX(INDIRECT("input!" &amp; $F$112 &amp; ":" &amp; $F$112),FirstRowInput+Integration*COUNT($B$114:B392)+Integration-1))*$F$110,"")</f>
        <v/>
      </c>
      <c r="G393" s="77" t="str">
        <f ca="1">IFERROR(AVERAGE(INDEX(INDIRECT("input!" &amp; $G$112 &amp; ":" &amp; $G$112),FirstRowInput+Integration*COUNT($B$114:B392)):INDEX(INDIRECT("input!" &amp; $G$112 &amp; ":" &amp; $G$112),FirstRowInput+Integration*COUNT($B$114:B392)+Integration-1))*$G$110,"")</f>
        <v/>
      </c>
      <c r="H393" s="77" t="str">
        <f ca="1">IFERROR(AVERAGE(INDEX(INDIRECT("input!" &amp; $H$112 &amp; ":" &amp; $H$112),FirstRowInput+Integration*COUNT($B$114:B392)):INDEX(INDIRECT("input!" &amp; $H$112 &amp; ":" &amp; $H$112),FirstRowInput+Integration*COUNT($B$114:B392)+Integration-1))*$H$110,"")</f>
        <v/>
      </c>
      <c r="I393" s="42">
        <v>281</v>
      </c>
      <c r="S393" s="463"/>
    </row>
    <row r="394" spans="1:23" x14ac:dyDescent="0.15">
      <c r="A394" s="75">
        <f ca="1">IFERROR(IF(AND(MAX($A$114:A393)&gt;A393+1, MAX($A$114:A393)&gt;20),0,IF(AND(D394="",G394=""),0,IF(OR(D394&gt;LimitSignB10, G394&gt;LimitSignB11),A393+1,0))),"")</f>
        <v>0</v>
      </c>
      <c r="B394" s="76" t="str">
        <f ca="1">IFERROR(MyTime(INDEX(INDIRECT("input!"&amp;$B$112&amp;":"&amp;$B$112),FirstRowInput+Integration*COUNT($B$114:B393)) )* $B$110,"")</f>
        <v/>
      </c>
      <c r="C394" s="77" t="str">
        <f ca="1">IFERROR(AVERAGE(INDEX(INDIRECT("input!" &amp; $C$112 &amp; ":" &amp; $C$112),FirstRowInput+Integration*COUNT($B$114:B393)):INDEX(INDIRECT("input!" &amp; $C$112 &amp; ":" &amp; $C$112),FirstRowInput+Integration*COUNT($B$114:B393)+Integration-1))*$C$110,"")</f>
        <v/>
      </c>
      <c r="D394" s="77" t="str">
        <f ca="1">IFERROR(AVERAGE(INDEX(INDIRECT("input!" &amp; $D$112 &amp; ":" &amp; $D$112),FirstRowInput+Integration*COUNT($B$114:B393)):INDEX(INDIRECT("input!" &amp; $D$112 &amp; ":" &amp; $D$112),FirstRowInput+Integration*COUNT($B$114:B393)+Integration-1))*$D$110,"")</f>
        <v/>
      </c>
      <c r="E394" s="77" t="str">
        <f ca="1">IFERROR(AVERAGE(INDEX(INDIRECT("input!" &amp; $E$112 &amp; ":" &amp; $E$112),FirstRowInput+Integration*COUNT($B$114:B393)):INDEX(INDIRECT("input!" &amp; $E$112 &amp; ":" &amp; $E$112),FirstRowInput+Integration*COUNT($B$114:B393)+Integration-1))*$E$110,"")</f>
        <v/>
      </c>
      <c r="F394" s="77" t="str">
        <f ca="1">IFERROR(AVERAGE(INDEX(INDIRECT("input!" &amp; $F$112 &amp; ":" &amp; $F$112),FirstRowInput+Integration*COUNT($B$114:B393)):INDEX(INDIRECT("input!" &amp; $F$112 &amp; ":" &amp; $F$112),FirstRowInput+Integration*COUNT($B$114:B393)+Integration-1))*$F$110,"")</f>
        <v/>
      </c>
      <c r="G394" s="77" t="str">
        <f ca="1">IFERROR(AVERAGE(INDEX(INDIRECT("input!" &amp; $G$112 &amp; ":" &amp; $G$112),FirstRowInput+Integration*COUNT($B$114:B393)):INDEX(INDIRECT("input!" &amp; $G$112 &amp; ":" &amp; $G$112),FirstRowInput+Integration*COUNT($B$114:B393)+Integration-1))*$G$110,"")</f>
        <v/>
      </c>
      <c r="H394" s="77" t="str">
        <f ca="1">IFERROR(AVERAGE(INDEX(INDIRECT("input!" &amp; $H$112 &amp; ":" &amp; $H$112),FirstRowInput+Integration*COUNT($B$114:B393)):INDEX(INDIRECT("input!" &amp; $H$112 &amp; ":" &amp; $H$112),FirstRowInput+Integration*COUNT($B$114:B393)+Integration-1))*$H$110,"")</f>
        <v/>
      </c>
      <c r="I394" s="42">
        <v>282</v>
      </c>
      <c r="S394" s="463"/>
    </row>
    <row r="395" spans="1:23" x14ac:dyDescent="0.15">
      <c r="A395" s="75">
        <f ca="1">IFERROR(IF(AND(MAX($A$114:A394)&gt;A394+1, MAX($A$114:A394)&gt;20),0,IF(AND(D395="",G395=""),0,IF(OR(D395&gt;LimitSignB10, G395&gt;LimitSignB11),A394+1,0))),"")</f>
        <v>0</v>
      </c>
      <c r="B395" s="76" t="str">
        <f ca="1">IFERROR(MyTime(INDEX(INDIRECT("input!"&amp;$B$112&amp;":"&amp;$B$112),FirstRowInput+Integration*COUNT($B$114:B394)) )* $B$110,"")</f>
        <v/>
      </c>
      <c r="C395" s="77" t="str">
        <f ca="1">IFERROR(AVERAGE(INDEX(INDIRECT("input!" &amp; $C$112 &amp; ":" &amp; $C$112),FirstRowInput+Integration*COUNT($B$114:B394)):INDEX(INDIRECT("input!" &amp; $C$112 &amp; ":" &amp; $C$112),FirstRowInput+Integration*COUNT($B$114:B394)+Integration-1))*$C$110,"")</f>
        <v/>
      </c>
      <c r="D395" s="77" t="str">
        <f ca="1">IFERROR(AVERAGE(INDEX(INDIRECT("input!" &amp; $D$112 &amp; ":" &amp; $D$112),FirstRowInput+Integration*COUNT($B$114:B394)):INDEX(INDIRECT("input!" &amp; $D$112 &amp; ":" &amp; $D$112),FirstRowInput+Integration*COUNT($B$114:B394)+Integration-1))*$D$110,"")</f>
        <v/>
      </c>
      <c r="E395" s="77" t="str">
        <f ca="1">IFERROR(AVERAGE(INDEX(INDIRECT("input!" &amp; $E$112 &amp; ":" &amp; $E$112),FirstRowInput+Integration*COUNT($B$114:B394)):INDEX(INDIRECT("input!" &amp; $E$112 &amp; ":" &amp; $E$112),FirstRowInput+Integration*COUNT($B$114:B394)+Integration-1))*$E$110,"")</f>
        <v/>
      </c>
      <c r="F395" s="77" t="str">
        <f ca="1">IFERROR(AVERAGE(INDEX(INDIRECT("input!" &amp; $F$112 &amp; ":" &amp; $F$112),FirstRowInput+Integration*COUNT($B$114:B394)):INDEX(INDIRECT("input!" &amp; $F$112 &amp; ":" &amp; $F$112),FirstRowInput+Integration*COUNT($B$114:B394)+Integration-1))*$F$110,"")</f>
        <v/>
      </c>
      <c r="G395" s="77" t="str">
        <f ca="1">IFERROR(AVERAGE(INDEX(INDIRECT("input!" &amp; $G$112 &amp; ":" &amp; $G$112),FirstRowInput+Integration*COUNT($B$114:B394)):INDEX(INDIRECT("input!" &amp; $G$112 &amp; ":" &amp; $G$112),FirstRowInput+Integration*COUNT($B$114:B394)+Integration-1))*$G$110,"")</f>
        <v/>
      </c>
      <c r="H395" s="77" t="str">
        <f ca="1">IFERROR(AVERAGE(INDEX(INDIRECT("input!" &amp; $H$112 &amp; ":" &amp; $H$112),FirstRowInput+Integration*COUNT($B$114:B394)):INDEX(INDIRECT("input!" &amp; $H$112 &amp; ":" &amp; $H$112),FirstRowInput+Integration*COUNT($B$114:B394)+Integration-1))*$H$110,"")</f>
        <v/>
      </c>
      <c r="I395" s="42">
        <v>283</v>
      </c>
      <c r="S395" s="463"/>
    </row>
    <row r="396" spans="1:23" x14ac:dyDescent="0.15">
      <c r="A396" s="75">
        <f ca="1">IFERROR(IF(AND(MAX($A$114:A395)&gt;A395+1, MAX($A$114:A395)&gt;20),0,IF(AND(D396="",G396=""),0,IF(OR(D396&gt;LimitSignB10, G396&gt;LimitSignB11),A395+1,0))),"")</f>
        <v>0</v>
      </c>
      <c r="B396" s="76" t="str">
        <f ca="1">IFERROR(MyTime(INDEX(INDIRECT("input!"&amp;$B$112&amp;":"&amp;$B$112),FirstRowInput+Integration*COUNT($B$114:B395)) )* $B$110,"")</f>
        <v/>
      </c>
      <c r="C396" s="77" t="str">
        <f ca="1">IFERROR(AVERAGE(INDEX(INDIRECT("input!" &amp; $C$112 &amp; ":" &amp; $C$112),FirstRowInput+Integration*COUNT($B$114:B395)):INDEX(INDIRECT("input!" &amp; $C$112 &amp; ":" &amp; $C$112),FirstRowInput+Integration*COUNT($B$114:B395)+Integration-1))*$C$110,"")</f>
        <v/>
      </c>
      <c r="D396" s="77" t="str">
        <f ca="1">IFERROR(AVERAGE(INDEX(INDIRECT("input!" &amp; $D$112 &amp; ":" &amp; $D$112),FirstRowInput+Integration*COUNT($B$114:B395)):INDEX(INDIRECT("input!" &amp; $D$112 &amp; ":" &amp; $D$112),FirstRowInput+Integration*COUNT($B$114:B395)+Integration-1))*$D$110,"")</f>
        <v/>
      </c>
      <c r="E396" s="77" t="str">
        <f ca="1">IFERROR(AVERAGE(INDEX(INDIRECT("input!" &amp; $E$112 &amp; ":" &amp; $E$112),FirstRowInput+Integration*COUNT($B$114:B395)):INDEX(INDIRECT("input!" &amp; $E$112 &amp; ":" &amp; $E$112),FirstRowInput+Integration*COUNT($B$114:B395)+Integration-1))*$E$110,"")</f>
        <v/>
      </c>
      <c r="F396" s="77" t="str">
        <f ca="1">IFERROR(AVERAGE(INDEX(INDIRECT("input!" &amp; $F$112 &amp; ":" &amp; $F$112),FirstRowInput+Integration*COUNT($B$114:B395)):INDEX(INDIRECT("input!" &amp; $F$112 &amp; ":" &amp; $F$112),FirstRowInput+Integration*COUNT($B$114:B395)+Integration-1))*$F$110,"")</f>
        <v/>
      </c>
      <c r="G396" s="77" t="str">
        <f ca="1">IFERROR(AVERAGE(INDEX(INDIRECT("input!" &amp; $G$112 &amp; ":" &amp; $G$112),FirstRowInput+Integration*COUNT($B$114:B395)):INDEX(INDIRECT("input!" &amp; $G$112 &amp; ":" &amp; $G$112),FirstRowInput+Integration*COUNT($B$114:B395)+Integration-1))*$G$110,"")</f>
        <v/>
      </c>
      <c r="H396" s="77" t="str">
        <f ca="1">IFERROR(AVERAGE(INDEX(INDIRECT("input!" &amp; $H$112 &amp; ":" &amp; $H$112),FirstRowInput+Integration*COUNT($B$114:B395)):INDEX(INDIRECT("input!" &amp; $H$112 &amp; ":" &amp; $H$112),FirstRowInput+Integration*COUNT($B$114:B395)+Integration-1))*$H$110,"")</f>
        <v/>
      </c>
      <c r="I396" s="42">
        <v>284</v>
      </c>
      <c r="S396" s="463"/>
    </row>
    <row r="397" spans="1:23" x14ac:dyDescent="0.15">
      <c r="A397" s="75">
        <f ca="1">IFERROR(IF(AND(MAX($A$114:A396)&gt;A396+1, MAX($A$114:A396)&gt;20),0,IF(AND(D397="",G397=""),0,IF(OR(D397&gt;LimitSignB10, G397&gt;LimitSignB11),A396+1,0))),"")</f>
        <v>0</v>
      </c>
      <c r="B397" s="76" t="str">
        <f ca="1">IFERROR(MyTime(INDEX(INDIRECT("input!"&amp;$B$112&amp;":"&amp;$B$112),FirstRowInput+Integration*COUNT($B$114:B396)) )* $B$110,"")</f>
        <v/>
      </c>
      <c r="C397" s="77" t="str">
        <f ca="1">IFERROR(AVERAGE(INDEX(INDIRECT("input!" &amp; $C$112 &amp; ":" &amp; $C$112),FirstRowInput+Integration*COUNT($B$114:B396)):INDEX(INDIRECT("input!" &amp; $C$112 &amp; ":" &amp; $C$112),FirstRowInput+Integration*COUNT($B$114:B396)+Integration-1))*$C$110,"")</f>
        <v/>
      </c>
      <c r="D397" s="77" t="str">
        <f ca="1">IFERROR(AVERAGE(INDEX(INDIRECT("input!" &amp; $D$112 &amp; ":" &amp; $D$112),FirstRowInput+Integration*COUNT($B$114:B396)):INDEX(INDIRECT("input!" &amp; $D$112 &amp; ":" &amp; $D$112),FirstRowInput+Integration*COUNT($B$114:B396)+Integration-1))*$D$110,"")</f>
        <v/>
      </c>
      <c r="E397" s="77" t="str">
        <f ca="1">IFERROR(AVERAGE(INDEX(INDIRECT("input!" &amp; $E$112 &amp; ":" &amp; $E$112),FirstRowInput+Integration*COUNT($B$114:B396)):INDEX(INDIRECT("input!" &amp; $E$112 &amp; ":" &amp; $E$112),FirstRowInput+Integration*COUNT($B$114:B396)+Integration-1))*$E$110,"")</f>
        <v/>
      </c>
      <c r="F397" s="77" t="str">
        <f ca="1">IFERROR(AVERAGE(INDEX(INDIRECT("input!" &amp; $F$112 &amp; ":" &amp; $F$112),FirstRowInput+Integration*COUNT($B$114:B396)):INDEX(INDIRECT("input!" &amp; $F$112 &amp; ":" &amp; $F$112),FirstRowInput+Integration*COUNT($B$114:B396)+Integration-1))*$F$110,"")</f>
        <v/>
      </c>
      <c r="G397" s="77" t="str">
        <f ca="1">IFERROR(AVERAGE(INDEX(INDIRECT("input!" &amp; $G$112 &amp; ":" &amp; $G$112),FirstRowInput+Integration*COUNT($B$114:B396)):INDEX(INDIRECT("input!" &amp; $G$112 &amp; ":" &amp; $G$112),FirstRowInput+Integration*COUNT($B$114:B396)+Integration-1))*$G$110,"")</f>
        <v/>
      </c>
      <c r="H397" s="77" t="str">
        <f ca="1">IFERROR(AVERAGE(INDEX(INDIRECT("input!" &amp; $H$112 &amp; ":" &amp; $H$112),FirstRowInput+Integration*COUNT($B$114:B396)):INDEX(INDIRECT("input!" &amp; $H$112 &amp; ":" &amp; $H$112),FirstRowInput+Integration*COUNT($B$114:B396)+Integration-1))*$H$110,"")</f>
        <v/>
      </c>
      <c r="I397" s="42">
        <v>285</v>
      </c>
      <c r="S397" s="463"/>
    </row>
    <row r="398" spans="1:23" x14ac:dyDescent="0.15">
      <c r="A398" s="75">
        <f ca="1">IFERROR(IF(AND(MAX($A$114:A397)&gt;A397+1, MAX($A$114:A397)&gt;20),0,IF(AND(D398="",G398=""),0,IF(OR(D398&gt;LimitSignB10, G398&gt;LimitSignB11),A397+1,0))),"")</f>
        <v>0</v>
      </c>
      <c r="B398" s="76" t="str">
        <f ca="1">IFERROR(MyTime(INDEX(INDIRECT("input!"&amp;$B$112&amp;":"&amp;$B$112),FirstRowInput+Integration*COUNT($B$114:B397)) )* $B$110,"")</f>
        <v/>
      </c>
      <c r="C398" s="77" t="str">
        <f ca="1">IFERROR(AVERAGE(INDEX(INDIRECT("input!" &amp; $C$112 &amp; ":" &amp; $C$112),FirstRowInput+Integration*COUNT($B$114:B397)):INDEX(INDIRECT("input!" &amp; $C$112 &amp; ":" &amp; $C$112),FirstRowInput+Integration*COUNT($B$114:B397)+Integration-1))*$C$110,"")</f>
        <v/>
      </c>
      <c r="D398" s="77" t="str">
        <f ca="1">IFERROR(AVERAGE(INDEX(INDIRECT("input!" &amp; $D$112 &amp; ":" &amp; $D$112),FirstRowInput+Integration*COUNT($B$114:B397)):INDEX(INDIRECT("input!" &amp; $D$112 &amp; ":" &amp; $D$112),FirstRowInput+Integration*COUNT($B$114:B397)+Integration-1))*$D$110,"")</f>
        <v/>
      </c>
      <c r="E398" s="77" t="str">
        <f ca="1">IFERROR(AVERAGE(INDEX(INDIRECT("input!" &amp; $E$112 &amp; ":" &amp; $E$112),FirstRowInput+Integration*COUNT($B$114:B397)):INDEX(INDIRECT("input!" &amp; $E$112 &amp; ":" &amp; $E$112),FirstRowInput+Integration*COUNT($B$114:B397)+Integration-1))*$E$110,"")</f>
        <v/>
      </c>
      <c r="F398" s="77" t="str">
        <f ca="1">IFERROR(AVERAGE(INDEX(INDIRECT("input!" &amp; $F$112 &amp; ":" &amp; $F$112),FirstRowInput+Integration*COUNT($B$114:B397)):INDEX(INDIRECT("input!" &amp; $F$112 &amp; ":" &amp; $F$112),FirstRowInput+Integration*COUNT($B$114:B397)+Integration-1))*$F$110,"")</f>
        <v/>
      </c>
      <c r="G398" s="77" t="str">
        <f ca="1">IFERROR(AVERAGE(INDEX(INDIRECT("input!" &amp; $G$112 &amp; ":" &amp; $G$112),FirstRowInput+Integration*COUNT($B$114:B397)):INDEX(INDIRECT("input!" &amp; $G$112 &amp; ":" &amp; $G$112),FirstRowInput+Integration*COUNT($B$114:B397)+Integration-1))*$G$110,"")</f>
        <v/>
      </c>
      <c r="H398" s="77" t="str">
        <f ca="1">IFERROR(AVERAGE(INDEX(INDIRECT("input!" &amp; $H$112 &amp; ":" &amp; $H$112),FirstRowInput+Integration*COUNT($B$114:B397)):INDEX(INDIRECT("input!" &amp; $H$112 &amp; ":" &amp; $H$112),FirstRowInput+Integration*COUNT($B$114:B397)+Integration-1))*$H$110,"")</f>
        <v/>
      </c>
      <c r="I398" s="42">
        <v>286</v>
      </c>
      <c r="S398" s="463"/>
    </row>
    <row r="399" spans="1:23" x14ac:dyDescent="0.15">
      <c r="A399" s="75">
        <f ca="1">IFERROR(IF(AND(MAX($A$114:A398)&gt;A398+1, MAX($A$114:A398)&gt;20),0,IF(AND(D399="",G399=""),0,IF(OR(D399&gt;LimitSignB10, G399&gt;LimitSignB11),A398+1,0))),"")</f>
        <v>0</v>
      </c>
      <c r="B399" s="76" t="str">
        <f ca="1">IFERROR(MyTime(INDEX(INDIRECT("input!"&amp;$B$112&amp;":"&amp;$B$112),FirstRowInput+Integration*COUNT($B$114:B398)) )* $B$110,"")</f>
        <v/>
      </c>
      <c r="C399" s="77" t="str">
        <f ca="1">IFERROR(AVERAGE(INDEX(INDIRECT("input!" &amp; $C$112 &amp; ":" &amp; $C$112),FirstRowInput+Integration*COUNT($B$114:B398)):INDEX(INDIRECT("input!" &amp; $C$112 &amp; ":" &amp; $C$112),FirstRowInput+Integration*COUNT($B$114:B398)+Integration-1))*$C$110,"")</f>
        <v/>
      </c>
      <c r="D399" s="77" t="str">
        <f ca="1">IFERROR(AVERAGE(INDEX(INDIRECT("input!" &amp; $D$112 &amp; ":" &amp; $D$112),FirstRowInput+Integration*COUNT($B$114:B398)):INDEX(INDIRECT("input!" &amp; $D$112 &amp; ":" &amp; $D$112),FirstRowInput+Integration*COUNT($B$114:B398)+Integration-1))*$D$110,"")</f>
        <v/>
      </c>
      <c r="E399" s="77" t="str">
        <f ca="1">IFERROR(AVERAGE(INDEX(INDIRECT("input!" &amp; $E$112 &amp; ":" &amp; $E$112),FirstRowInput+Integration*COUNT($B$114:B398)):INDEX(INDIRECT("input!" &amp; $E$112 &amp; ":" &amp; $E$112),FirstRowInput+Integration*COUNT($B$114:B398)+Integration-1))*$E$110,"")</f>
        <v/>
      </c>
      <c r="F399" s="77" t="str">
        <f ca="1">IFERROR(AVERAGE(INDEX(INDIRECT("input!" &amp; $F$112 &amp; ":" &amp; $F$112),FirstRowInput+Integration*COUNT($B$114:B398)):INDEX(INDIRECT("input!" &amp; $F$112 &amp; ":" &amp; $F$112),FirstRowInput+Integration*COUNT($B$114:B398)+Integration-1))*$F$110,"")</f>
        <v/>
      </c>
      <c r="G399" s="77" t="str">
        <f ca="1">IFERROR(AVERAGE(INDEX(INDIRECT("input!" &amp; $G$112 &amp; ":" &amp; $G$112),FirstRowInput+Integration*COUNT($B$114:B398)):INDEX(INDIRECT("input!" &amp; $G$112 &amp; ":" &amp; $G$112),FirstRowInput+Integration*COUNT($B$114:B398)+Integration-1))*$G$110,"")</f>
        <v/>
      </c>
      <c r="H399" s="77" t="str">
        <f ca="1">IFERROR(AVERAGE(INDEX(INDIRECT("input!" &amp; $H$112 &amp; ":" &amp; $H$112),FirstRowInput+Integration*COUNT($B$114:B398)):INDEX(INDIRECT("input!" &amp; $H$112 &amp; ":" &amp; $H$112),FirstRowInput+Integration*COUNT($B$114:B398)+Integration-1))*$H$110,"")</f>
        <v/>
      </c>
      <c r="I399" s="42">
        <v>287</v>
      </c>
      <c r="S399" s="463"/>
    </row>
    <row r="400" spans="1:23" x14ac:dyDescent="0.15">
      <c r="A400" s="75">
        <f ca="1">IFERROR(IF(AND(MAX($A$114:A399)&gt;A399+1, MAX($A$114:A399)&gt;20),0,IF(AND(D400="",G400=""),0,IF(OR(D400&gt;LimitSignB10, G400&gt;LimitSignB11),A399+1,0))),"")</f>
        <v>0</v>
      </c>
      <c r="B400" s="76" t="str">
        <f ca="1">IFERROR(MyTime(INDEX(INDIRECT("input!"&amp;$B$112&amp;":"&amp;$B$112),FirstRowInput+Integration*COUNT($B$114:B399)) )* $B$110,"")</f>
        <v/>
      </c>
      <c r="C400" s="77" t="str">
        <f ca="1">IFERROR(AVERAGE(INDEX(INDIRECT("input!" &amp; $C$112 &amp; ":" &amp; $C$112),FirstRowInput+Integration*COUNT($B$114:B399)):INDEX(INDIRECT("input!" &amp; $C$112 &amp; ":" &amp; $C$112),FirstRowInput+Integration*COUNT($B$114:B399)+Integration-1))*$C$110,"")</f>
        <v/>
      </c>
      <c r="D400" s="77" t="str">
        <f ca="1">IFERROR(AVERAGE(INDEX(INDIRECT("input!" &amp; $D$112 &amp; ":" &amp; $D$112),FirstRowInput+Integration*COUNT($B$114:B399)):INDEX(INDIRECT("input!" &amp; $D$112 &amp; ":" &amp; $D$112),FirstRowInput+Integration*COUNT($B$114:B399)+Integration-1))*$D$110,"")</f>
        <v/>
      </c>
      <c r="E400" s="77" t="str">
        <f ca="1">IFERROR(AVERAGE(INDEX(INDIRECT("input!" &amp; $E$112 &amp; ":" &amp; $E$112),FirstRowInput+Integration*COUNT($B$114:B399)):INDEX(INDIRECT("input!" &amp; $E$112 &amp; ":" &amp; $E$112),FirstRowInput+Integration*COUNT($B$114:B399)+Integration-1))*$E$110,"")</f>
        <v/>
      </c>
      <c r="F400" s="77" t="str">
        <f ca="1">IFERROR(AVERAGE(INDEX(INDIRECT("input!" &amp; $F$112 &amp; ":" &amp; $F$112),FirstRowInput+Integration*COUNT($B$114:B399)):INDEX(INDIRECT("input!" &amp; $F$112 &amp; ":" &amp; $F$112),FirstRowInput+Integration*COUNT($B$114:B399)+Integration-1))*$F$110,"")</f>
        <v/>
      </c>
      <c r="G400" s="77" t="str">
        <f ca="1">IFERROR(AVERAGE(INDEX(INDIRECT("input!" &amp; $G$112 &amp; ":" &amp; $G$112),FirstRowInput+Integration*COUNT($B$114:B399)):INDEX(INDIRECT("input!" &amp; $G$112 &amp; ":" &amp; $G$112),FirstRowInput+Integration*COUNT($B$114:B399)+Integration-1))*$G$110,"")</f>
        <v/>
      </c>
      <c r="H400" s="77" t="str">
        <f ca="1">IFERROR(AVERAGE(INDEX(INDIRECT("input!" &amp; $H$112 &amp; ":" &amp; $H$112),FirstRowInput+Integration*COUNT($B$114:B399)):INDEX(INDIRECT("input!" &amp; $H$112 &amp; ":" &amp; $H$112),FirstRowInput+Integration*COUNT($B$114:B399)+Integration-1))*$H$110,"")</f>
        <v/>
      </c>
      <c r="I400" s="42">
        <v>288</v>
      </c>
      <c r="S400" s="463"/>
    </row>
    <row r="401" spans="1:19" x14ac:dyDescent="0.15">
      <c r="A401" s="75">
        <f ca="1">IFERROR(IF(AND(MAX($A$114:A400)&gt;A400+1, MAX($A$114:A400)&gt;20),0,IF(AND(D401="",G401=""),0,IF(OR(D401&gt;LimitSignB10, G401&gt;LimitSignB11),A400+1,0))),"")</f>
        <v>0</v>
      </c>
      <c r="B401" s="76" t="str">
        <f ca="1">IFERROR(MyTime(INDEX(INDIRECT("input!"&amp;$B$112&amp;":"&amp;$B$112),FirstRowInput+Integration*COUNT($B$114:B400)) )* $B$110,"")</f>
        <v/>
      </c>
      <c r="C401" s="77" t="str">
        <f ca="1">IFERROR(AVERAGE(INDEX(INDIRECT("input!" &amp; $C$112 &amp; ":" &amp; $C$112),FirstRowInput+Integration*COUNT($B$114:B400)):INDEX(INDIRECT("input!" &amp; $C$112 &amp; ":" &amp; $C$112),FirstRowInput+Integration*COUNT($B$114:B400)+Integration-1))*$C$110,"")</f>
        <v/>
      </c>
      <c r="D401" s="77" t="str">
        <f ca="1">IFERROR(AVERAGE(INDEX(INDIRECT("input!" &amp; $D$112 &amp; ":" &amp; $D$112),FirstRowInput+Integration*COUNT($B$114:B400)):INDEX(INDIRECT("input!" &amp; $D$112 &amp; ":" &amp; $D$112),FirstRowInput+Integration*COUNT($B$114:B400)+Integration-1))*$D$110,"")</f>
        <v/>
      </c>
      <c r="E401" s="77" t="str">
        <f ca="1">IFERROR(AVERAGE(INDEX(INDIRECT("input!" &amp; $E$112 &amp; ":" &amp; $E$112),FirstRowInput+Integration*COUNT($B$114:B400)):INDEX(INDIRECT("input!" &amp; $E$112 &amp; ":" &amp; $E$112),FirstRowInput+Integration*COUNT($B$114:B400)+Integration-1))*$E$110,"")</f>
        <v/>
      </c>
      <c r="F401" s="77" t="str">
        <f ca="1">IFERROR(AVERAGE(INDEX(INDIRECT("input!" &amp; $F$112 &amp; ":" &amp; $F$112),FirstRowInput+Integration*COUNT($B$114:B400)):INDEX(INDIRECT("input!" &amp; $F$112 &amp; ":" &amp; $F$112),FirstRowInput+Integration*COUNT($B$114:B400)+Integration-1))*$F$110,"")</f>
        <v/>
      </c>
      <c r="G401" s="77" t="str">
        <f ca="1">IFERROR(AVERAGE(INDEX(INDIRECT("input!" &amp; $G$112 &amp; ":" &amp; $G$112),FirstRowInput+Integration*COUNT($B$114:B400)):INDEX(INDIRECT("input!" &amp; $G$112 &amp; ":" &amp; $G$112),FirstRowInput+Integration*COUNT($B$114:B400)+Integration-1))*$G$110,"")</f>
        <v/>
      </c>
      <c r="H401" s="77" t="str">
        <f ca="1">IFERROR(AVERAGE(INDEX(INDIRECT("input!" &amp; $H$112 &amp; ":" &amp; $H$112),FirstRowInput+Integration*COUNT($B$114:B400)):INDEX(INDIRECT("input!" &amp; $H$112 &amp; ":" &amp; $H$112),FirstRowInput+Integration*COUNT($B$114:B400)+Integration-1))*$H$110,"")</f>
        <v/>
      </c>
      <c r="I401" s="42">
        <v>289</v>
      </c>
      <c r="S401" s="463"/>
    </row>
    <row r="402" spans="1:19" x14ac:dyDescent="0.15">
      <c r="A402" s="75">
        <f ca="1">IFERROR(IF(AND(MAX($A$114:A401)&gt;A401+1, MAX($A$114:A401)&gt;20),0,IF(AND(D402="",G402=""),0,IF(OR(D402&gt;LimitSignB10, G402&gt;LimitSignB11),A401+1,0))),"")</f>
        <v>0</v>
      </c>
      <c r="B402" s="76" t="str">
        <f ca="1">IFERROR(MyTime(INDEX(INDIRECT("input!"&amp;$B$112&amp;":"&amp;$B$112),FirstRowInput+Integration*COUNT($B$114:B401)) )* $B$110,"")</f>
        <v/>
      </c>
      <c r="C402" s="77" t="str">
        <f ca="1">IFERROR(AVERAGE(INDEX(INDIRECT("input!" &amp; $C$112 &amp; ":" &amp; $C$112),FirstRowInput+Integration*COUNT($B$114:B401)):INDEX(INDIRECT("input!" &amp; $C$112 &amp; ":" &amp; $C$112),FirstRowInput+Integration*COUNT($B$114:B401)+Integration-1))*$C$110,"")</f>
        <v/>
      </c>
      <c r="D402" s="77" t="str">
        <f ca="1">IFERROR(AVERAGE(INDEX(INDIRECT("input!" &amp; $D$112 &amp; ":" &amp; $D$112),FirstRowInput+Integration*COUNT($B$114:B401)):INDEX(INDIRECT("input!" &amp; $D$112 &amp; ":" &amp; $D$112),FirstRowInput+Integration*COUNT($B$114:B401)+Integration-1))*$D$110,"")</f>
        <v/>
      </c>
      <c r="E402" s="77" t="str">
        <f ca="1">IFERROR(AVERAGE(INDEX(INDIRECT("input!" &amp; $E$112 &amp; ":" &amp; $E$112),FirstRowInput+Integration*COUNT($B$114:B401)):INDEX(INDIRECT("input!" &amp; $E$112 &amp; ":" &amp; $E$112),FirstRowInput+Integration*COUNT($B$114:B401)+Integration-1))*$E$110,"")</f>
        <v/>
      </c>
      <c r="F402" s="77" t="str">
        <f ca="1">IFERROR(AVERAGE(INDEX(INDIRECT("input!" &amp; $F$112 &amp; ":" &amp; $F$112),FirstRowInput+Integration*COUNT($B$114:B401)):INDEX(INDIRECT("input!" &amp; $F$112 &amp; ":" &amp; $F$112),FirstRowInput+Integration*COUNT($B$114:B401)+Integration-1))*$F$110,"")</f>
        <v/>
      </c>
      <c r="G402" s="77" t="str">
        <f ca="1">IFERROR(AVERAGE(INDEX(INDIRECT("input!" &amp; $G$112 &amp; ":" &amp; $G$112),FirstRowInput+Integration*COUNT($B$114:B401)):INDEX(INDIRECT("input!" &amp; $G$112 &amp; ":" &amp; $G$112),FirstRowInput+Integration*COUNT($B$114:B401)+Integration-1))*$G$110,"")</f>
        <v/>
      </c>
      <c r="H402" s="77" t="str">
        <f ca="1">IFERROR(AVERAGE(INDEX(INDIRECT("input!" &amp; $H$112 &amp; ":" &amp; $H$112),FirstRowInput+Integration*COUNT($B$114:B401)):INDEX(INDIRECT("input!" &amp; $H$112 &amp; ":" &amp; $H$112),FirstRowInput+Integration*COUNT($B$114:B401)+Integration-1))*$H$110,"")</f>
        <v/>
      </c>
      <c r="I402" s="42">
        <v>290</v>
      </c>
      <c r="S402" s="463"/>
    </row>
    <row r="403" spans="1:19" x14ac:dyDescent="0.15">
      <c r="A403" s="75">
        <f ca="1">IFERROR(IF(AND(MAX($A$114:A402)&gt;A402+1, MAX($A$114:A402)&gt;20),0,IF(AND(D403="",G403=""),0,IF(OR(D403&gt;LimitSignB10, G403&gt;LimitSignB11),A402+1,0))),"")</f>
        <v>0</v>
      </c>
      <c r="B403" s="76" t="str">
        <f ca="1">IFERROR(MyTime(INDEX(INDIRECT("input!"&amp;$B$112&amp;":"&amp;$B$112),FirstRowInput+Integration*COUNT($B$114:B402)) )* $B$110,"")</f>
        <v/>
      </c>
      <c r="C403" s="77" t="str">
        <f ca="1">IFERROR(AVERAGE(INDEX(INDIRECT("input!" &amp; $C$112 &amp; ":" &amp; $C$112),FirstRowInput+Integration*COUNT($B$114:B402)):INDEX(INDIRECT("input!" &amp; $C$112 &amp; ":" &amp; $C$112),FirstRowInput+Integration*COUNT($B$114:B402)+Integration-1))*$C$110,"")</f>
        <v/>
      </c>
      <c r="D403" s="77" t="str">
        <f ca="1">IFERROR(AVERAGE(INDEX(INDIRECT("input!" &amp; $D$112 &amp; ":" &amp; $D$112),FirstRowInput+Integration*COUNT($B$114:B402)):INDEX(INDIRECT("input!" &amp; $D$112 &amp; ":" &amp; $D$112),FirstRowInput+Integration*COUNT($B$114:B402)+Integration-1))*$D$110,"")</f>
        <v/>
      </c>
      <c r="E403" s="77" t="str">
        <f ca="1">IFERROR(AVERAGE(INDEX(INDIRECT("input!" &amp; $E$112 &amp; ":" &amp; $E$112),FirstRowInput+Integration*COUNT($B$114:B402)):INDEX(INDIRECT("input!" &amp; $E$112 &amp; ":" &amp; $E$112),FirstRowInput+Integration*COUNT($B$114:B402)+Integration-1))*$E$110,"")</f>
        <v/>
      </c>
      <c r="F403" s="77" t="str">
        <f ca="1">IFERROR(AVERAGE(INDEX(INDIRECT("input!" &amp; $F$112 &amp; ":" &amp; $F$112),FirstRowInput+Integration*COUNT($B$114:B402)):INDEX(INDIRECT("input!" &amp; $F$112 &amp; ":" &amp; $F$112),FirstRowInput+Integration*COUNT($B$114:B402)+Integration-1))*$F$110,"")</f>
        <v/>
      </c>
      <c r="G403" s="77" t="str">
        <f ca="1">IFERROR(AVERAGE(INDEX(INDIRECT("input!" &amp; $G$112 &amp; ":" &amp; $G$112),FirstRowInput+Integration*COUNT($B$114:B402)):INDEX(INDIRECT("input!" &amp; $G$112 &amp; ":" &amp; $G$112),FirstRowInput+Integration*COUNT($B$114:B402)+Integration-1))*$G$110,"")</f>
        <v/>
      </c>
      <c r="H403" s="77" t="str">
        <f ca="1">IFERROR(AVERAGE(INDEX(INDIRECT("input!" &amp; $H$112 &amp; ":" &amp; $H$112),FirstRowInput+Integration*COUNT($B$114:B402)):INDEX(INDIRECT("input!" &amp; $H$112 &amp; ":" &amp; $H$112),FirstRowInput+Integration*COUNT($B$114:B402)+Integration-1))*$H$110,"")</f>
        <v/>
      </c>
      <c r="I403" s="42">
        <v>291</v>
      </c>
      <c r="S403" s="463"/>
    </row>
    <row r="404" spans="1:19" x14ac:dyDescent="0.15">
      <c r="A404" s="75">
        <f ca="1">IFERROR(IF(AND(MAX($A$114:A403)&gt;A403+1, MAX($A$114:A403)&gt;20),0,IF(AND(D404="",G404=""),0,IF(OR(D404&gt;LimitSignB10, G404&gt;LimitSignB11),A403+1,0))),"")</f>
        <v>0</v>
      </c>
      <c r="B404" s="76" t="str">
        <f ca="1">IFERROR(MyTime(INDEX(INDIRECT("input!"&amp;$B$112&amp;":"&amp;$B$112),FirstRowInput+Integration*COUNT($B$114:B403)) )* $B$110,"")</f>
        <v/>
      </c>
      <c r="C404" s="77" t="str">
        <f ca="1">IFERROR(AVERAGE(INDEX(INDIRECT("input!" &amp; $C$112 &amp; ":" &amp; $C$112),FirstRowInput+Integration*COUNT($B$114:B403)):INDEX(INDIRECT("input!" &amp; $C$112 &amp; ":" &amp; $C$112),FirstRowInput+Integration*COUNT($B$114:B403)+Integration-1))*$C$110,"")</f>
        <v/>
      </c>
      <c r="D404" s="77" t="str">
        <f ca="1">IFERROR(AVERAGE(INDEX(INDIRECT("input!" &amp; $D$112 &amp; ":" &amp; $D$112),FirstRowInput+Integration*COUNT($B$114:B403)):INDEX(INDIRECT("input!" &amp; $D$112 &amp; ":" &amp; $D$112),FirstRowInput+Integration*COUNT($B$114:B403)+Integration-1))*$D$110,"")</f>
        <v/>
      </c>
      <c r="E404" s="77" t="str">
        <f ca="1">IFERROR(AVERAGE(INDEX(INDIRECT("input!" &amp; $E$112 &amp; ":" &amp; $E$112),FirstRowInput+Integration*COUNT($B$114:B403)):INDEX(INDIRECT("input!" &amp; $E$112 &amp; ":" &amp; $E$112),FirstRowInput+Integration*COUNT($B$114:B403)+Integration-1))*$E$110,"")</f>
        <v/>
      </c>
      <c r="F404" s="77" t="str">
        <f ca="1">IFERROR(AVERAGE(INDEX(INDIRECT("input!" &amp; $F$112 &amp; ":" &amp; $F$112),FirstRowInput+Integration*COUNT($B$114:B403)):INDEX(INDIRECT("input!" &amp; $F$112 &amp; ":" &amp; $F$112),FirstRowInput+Integration*COUNT($B$114:B403)+Integration-1))*$F$110,"")</f>
        <v/>
      </c>
      <c r="G404" s="77" t="str">
        <f ca="1">IFERROR(AVERAGE(INDEX(INDIRECT("input!" &amp; $G$112 &amp; ":" &amp; $G$112),FirstRowInput+Integration*COUNT($B$114:B403)):INDEX(INDIRECT("input!" &amp; $G$112 &amp; ":" &amp; $G$112),FirstRowInput+Integration*COUNT($B$114:B403)+Integration-1))*$G$110,"")</f>
        <v/>
      </c>
      <c r="H404" s="77" t="str">
        <f ca="1">IFERROR(AVERAGE(INDEX(INDIRECT("input!" &amp; $H$112 &amp; ":" &amp; $H$112),FirstRowInput+Integration*COUNT($B$114:B403)):INDEX(INDIRECT("input!" &amp; $H$112 &amp; ":" &amp; $H$112),FirstRowInput+Integration*COUNT($B$114:B403)+Integration-1))*$H$110,"")</f>
        <v/>
      </c>
      <c r="I404" s="42">
        <v>292</v>
      </c>
      <c r="S404" s="463"/>
    </row>
    <row r="405" spans="1:19" x14ac:dyDescent="0.15">
      <c r="A405" s="75">
        <f ca="1">IFERROR(IF(AND(MAX($A$114:A404)&gt;A404+1, MAX($A$114:A404)&gt;20),0,IF(AND(D405="",G405=""),0,IF(OR(D405&gt;LimitSignB10, G405&gt;LimitSignB11),A404+1,0))),"")</f>
        <v>0</v>
      </c>
      <c r="B405" s="76" t="str">
        <f ca="1">IFERROR(MyTime(INDEX(INDIRECT("input!"&amp;$B$112&amp;":"&amp;$B$112),FirstRowInput+Integration*COUNT($B$114:B404)) )* $B$110,"")</f>
        <v/>
      </c>
      <c r="C405" s="77" t="str">
        <f ca="1">IFERROR(AVERAGE(INDEX(INDIRECT("input!" &amp; $C$112 &amp; ":" &amp; $C$112),FirstRowInput+Integration*COUNT($B$114:B404)):INDEX(INDIRECT("input!" &amp; $C$112 &amp; ":" &amp; $C$112),FirstRowInput+Integration*COUNT($B$114:B404)+Integration-1))*$C$110,"")</f>
        <v/>
      </c>
      <c r="D405" s="77" t="str">
        <f ca="1">IFERROR(AVERAGE(INDEX(INDIRECT("input!" &amp; $D$112 &amp; ":" &amp; $D$112),FirstRowInput+Integration*COUNT($B$114:B404)):INDEX(INDIRECT("input!" &amp; $D$112 &amp; ":" &amp; $D$112),FirstRowInput+Integration*COUNT($B$114:B404)+Integration-1))*$D$110,"")</f>
        <v/>
      </c>
      <c r="E405" s="77" t="str">
        <f ca="1">IFERROR(AVERAGE(INDEX(INDIRECT("input!" &amp; $E$112 &amp; ":" &amp; $E$112),FirstRowInput+Integration*COUNT($B$114:B404)):INDEX(INDIRECT("input!" &amp; $E$112 &amp; ":" &amp; $E$112),FirstRowInput+Integration*COUNT($B$114:B404)+Integration-1))*$E$110,"")</f>
        <v/>
      </c>
      <c r="F405" s="77" t="str">
        <f ca="1">IFERROR(AVERAGE(INDEX(INDIRECT("input!" &amp; $F$112 &amp; ":" &amp; $F$112),FirstRowInput+Integration*COUNT($B$114:B404)):INDEX(INDIRECT("input!" &amp; $F$112 &amp; ":" &amp; $F$112),FirstRowInput+Integration*COUNT($B$114:B404)+Integration-1))*$F$110,"")</f>
        <v/>
      </c>
      <c r="G405" s="77" t="str">
        <f ca="1">IFERROR(AVERAGE(INDEX(INDIRECT("input!" &amp; $G$112 &amp; ":" &amp; $G$112),FirstRowInput+Integration*COUNT($B$114:B404)):INDEX(INDIRECT("input!" &amp; $G$112 &amp; ":" &amp; $G$112),FirstRowInput+Integration*COUNT($B$114:B404)+Integration-1))*$G$110,"")</f>
        <v/>
      </c>
      <c r="H405" s="77" t="str">
        <f ca="1">IFERROR(AVERAGE(INDEX(INDIRECT("input!" &amp; $H$112 &amp; ":" &amp; $H$112),FirstRowInput+Integration*COUNT($B$114:B404)):INDEX(INDIRECT("input!" &amp; $H$112 &amp; ":" &amp; $H$112),FirstRowInput+Integration*COUNT($B$114:B404)+Integration-1))*$H$110,"")</f>
        <v/>
      </c>
      <c r="I405" s="42">
        <v>293</v>
      </c>
      <c r="S405" s="463"/>
    </row>
    <row r="406" spans="1:19" x14ac:dyDescent="0.15">
      <c r="A406" s="75">
        <f ca="1">IFERROR(IF(AND(MAX($A$114:A405)&gt;A405+1, MAX($A$114:A405)&gt;20),0,IF(AND(D406="",G406=""),0,IF(OR(D406&gt;LimitSignB10, G406&gt;LimitSignB11),A405+1,0))),"")</f>
        <v>0</v>
      </c>
      <c r="B406" s="76" t="str">
        <f ca="1">IFERROR(MyTime(INDEX(INDIRECT("input!"&amp;$B$112&amp;":"&amp;$B$112),FirstRowInput+Integration*COUNT($B$114:B405)) )* $B$110,"")</f>
        <v/>
      </c>
      <c r="C406" s="77" t="str">
        <f ca="1">IFERROR(AVERAGE(INDEX(INDIRECT("input!" &amp; $C$112 &amp; ":" &amp; $C$112),FirstRowInput+Integration*COUNT($B$114:B405)):INDEX(INDIRECT("input!" &amp; $C$112 &amp; ":" &amp; $C$112),FirstRowInput+Integration*COUNT($B$114:B405)+Integration-1))*$C$110,"")</f>
        <v/>
      </c>
      <c r="D406" s="77" t="str">
        <f ca="1">IFERROR(AVERAGE(INDEX(INDIRECT("input!" &amp; $D$112 &amp; ":" &amp; $D$112),FirstRowInput+Integration*COUNT($B$114:B405)):INDEX(INDIRECT("input!" &amp; $D$112 &amp; ":" &amp; $D$112),FirstRowInput+Integration*COUNT($B$114:B405)+Integration-1))*$D$110,"")</f>
        <v/>
      </c>
      <c r="E406" s="77" t="str">
        <f ca="1">IFERROR(AVERAGE(INDEX(INDIRECT("input!" &amp; $E$112 &amp; ":" &amp; $E$112),FirstRowInput+Integration*COUNT($B$114:B405)):INDEX(INDIRECT("input!" &amp; $E$112 &amp; ":" &amp; $E$112),FirstRowInput+Integration*COUNT($B$114:B405)+Integration-1))*$E$110,"")</f>
        <v/>
      </c>
      <c r="F406" s="77" t="str">
        <f ca="1">IFERROR(AVERAGE(INDEX(INDIRECT("input!" &amp; $F$112 &amp; ":" &amp; $F$112),FirstRowInput+Integration*COUNT($B$114:B405)):INDEX(INDIRECT("input!" &amp; $F$112 &amp; ":" &amp; $F$112),FirstRowInput+Integration*COUNT($B$114:B405)+Integration-1))*$F$110,"")</f>
        <v/>
      </c>
      <c r="G406" s="77" t="str">
        <f ca="1">IFERROR(AVERAGE(INDEX(INDIRECT("input!" &amp; $G$112 &amp; ":" &amp; $G$112),FirstRowInput+Integration*COUNT($B$114:B405)):INDEX(INDIRECT("input!" &amp; $G$112 &amp; ":" &amp; $G$112),FirstRowInput+Integration*COUNT($B$114:B405)+Integration-1))*$G$110,"")</f>
        <v/>
      </c>
      <c r="H406" s="77" t="str">
        <f ca="1">IFERROR(AVERAGE(INDEX(INDIRECT("input!" &amp; $H$112 &amp; ":" &amp; $H$112),FirstRowInput+Integration*COUNT($B$114:B405)):INDEX(INDIRECT("input!" &amp; $H$112 &amp; ":" &amp; $H$112),FirstRowInput+Integration*COUNT($B$114:B405)+Integration-1))*$H$110,"")</f>
        <v/>
      </c>
      <c r="I406" s="42">
        <v>294</v>
      </c>
      <c r="S406" s="463"/>
    </row>
    <row r="407" spans="1:19" x14ac:dyDescent="0.15">
      <c r="A407" s="75">
        <f ca="1">IFERROR(IF(AND(MAX($A$114:A406)&gt;A406+1, MAX($A$114:A406)&gt;20),0,IF(AND(D407="",G407=""),0,IF(OR(D407&gt;LimitSignB10, G407&gt;LimitSignB11),A406+1,0))),"")</f>
        <v>0</v>
      </c>
      <c r="B407" s="76" t="str">
        <f ca="1">IFERROR(MyTime(INDEX(INDIRECT("input!"&amp;$B$112&amp;":"&amp;$B$112),FirstRowInput+Integration*COUNT($B$114:B406)) )* $B$110,"")</f>
        <v/>
      </c>
      <c r="C407" s="77" t="str">
        <f ca="1">IFERROR(AVERAGE(INDEX(INDIRECT("input!" &amp; $C$112 &amp; ":" &amp; $C$112),FirstRowInput+Integration*COUNT($B$114:B406)):INDEX(INDIRECT("input!" &amp; $C$112 &amp; ":" &amp; $C$112),FirstRowInput+Integration*COUNT($B$114:B406)+Integration-1))*$C$110,"")</f>
        <v/>
      </c>
      <c r="D407" s="77" t="str">
        <f ca="1">IFERROR(AVERAGE(INDEX(INDIRECT("input!" &amp; $D$112 &amp; ":" &amp; $D$112),FirstRowInput+Integration*COUNT($B$114:B406)):INDEX(INDIRECT("input!" &amp; $D$112 &amp; ":" &amp; $D$112),FirstRowInput+Integration*COUNT($B$114:B406)+Integration-1))*$D$110,"")</f>
        <v/>
      </c>
      <c r="E407" s="77" t="str">
        <f ca="1">IFERROR(AVERAGE(INDEX(INDIRECT("input!" &amp; $E$112 &amp; ":" &amp; $E$112),FirstRowInput+Integration*COUNT($B$114:B406)):INDEX(INDIRECT("input!" &amp; $E$112 &amp; ":" &amp; $E$112),FirstRowInput+Integration*COUNT($B$114:B406)+Integration-1))*$E$110,"")</f>
        <v/>
      </c>
      <c r="F407" s="77" t="str">
        <f ca="1">IFERROR(AVERAGE(INDEX(INDIRECT("input!" &amp; $F$112 &amp; ":" &amp; $F$112),FirstRowInput+Integration*COUNT($B$114:B406)):INDEX(INDIRECT("input!" &amp; $F$112 &amp; ":" &amp; $F$112),FirstRowInput+Integration*COUNT($B$114:B406)+Integration-1))*$F$110,"")</f>
        <v/>
      </c>
      <c r="G407" s="77" t="str">
        <f ca="1">IFERROR(AVERAGE(INDEX(INDIRECT("input!" &amp; $G$112 &amp; ":" &amp; $G$112),FirstRowInput+Integration*COUNT($B$114:B406)):INDEX(INDIRECT("input!" &amp; $G$112 &amp; ":" &amp; $G$112),FirstRowInput+Integration*COUNT($B$114:B406)+Integration-1))*$G$110,"")</f>
        <v/>
      </c>
      <c r="H407" s="77" t="str">
        <f ca="1">IFERROR(AVERAGE(INDEX(INDIRECT("input!" &amp; $H$112 &amp; ":" &amp; $H$112),FirstRowInput+Integration*COUNT($B$114:B406)):INDEX(INDIRECT("input!" &amp; $H$112 &amp; ":" &amp; $H$112),FirstRowInput+Integration*COUNT($B$114:B406)+Integration-1))*$H$110,"")</f>
        <v/>
      </c>
      <c r="I407" s="42">
        <v>295</v>
      </c>
      <c r="S407" s="463"/>
    </row>
    <row r="408" spans="1:19" x14ac:dyDescent="0.15">
      <c r="A408" s="75">
        <f ca="1">IFERROR(IF(AND(MAX($A$114:A407)&gt;A407+1, MAX($A$114:A407)&gt;20),0,IF(AND(D408="",G408=""),0,IF(OR(D408&gt;LimitSignB10, G408&gt;LimitSignB11),A407+1,0))),"")</f>
        <v>0</v>
      </c>
      <c r="B408" s="76" t="str">
        <f ca="1">IFERROR(MyTime(INDEX(INDIRECT("input!"&amp;$B$112&amp;":"&amp;$B$112),FirstRowInput+Integration*COUNT($B$114:B407)) )* $B$110,"")</f>
        <v/>
      </c>
      <c r="C408" s="77" t="str">
        <f ca="1">IFERROR(AVERAGE(INDEX(INDIRECT("input!" &amp; $C$112 &amp; ":" &amp; $C$112),FirstRowInput+Integration*COUNT($B$114:B407)):INDEX(INDIRECT("input!" &amp; $C$112 &amp; ":" &amp; $C$112),FirstRowInput+Integration*COUNT($B$114:B407)+Integration-1))*$C$110,"")</f>
        <v/>
      </c>
      <c r="D408" s="77" t="str">
        <f ca="1">IFERROR(AVERAGE(INDEX(INDIRECT("input!" &amp; $D$112 &amp; ":" &amp; $D$112),FirstRowInput+Integration*COUNT($B$114:B407)):INDEX(INDIRECT("input!" &amp; $D$112 &amp; ":" &amp; $D$112),FirstRowInput+Integration*COUNT($B$114:B407)+Integration-1))*$D$110,"")</f>
        <v/>
      </c>
      <c r="E408" s="77" t="str">
        <f ca="1">IFERROR(AVERAGE(INDEX(INDIRECT("input!" &amp; $E$112 &amp; ":" &amp; $E$112),FirstRowInput+Integration*COUNT($B$114:B407)):INDEX(INDIRECT("input!" &amp; $E$112 &amp; ":" &amp; $E$112),FirstRowInput+Integration*COUNT($B$114:B407)+Integration-1))*$E$110,"")</f>
        <v/>
      </c>
      <c r="F408" s="77" t="str">
        <f ca="1">IFERROR(AVERAGE(INDEX(INDIRECT("input!" &amp; $F$112 &amp; ":" &amp; $F$112),FirstRowInput+Integration*COUNT($B$114:B407)):INDEX(INDIRECT("input!" &amp; $F$112 &amp; ":" &amp; $F$112),FirstRowInput+Integration*COUNT($B$114:B407)+Integration-1))*$F$110,"")</f>
        <v/>
      </c>
      <c r="G408" s="77" t="str">
        <f ca="1">IFERROR(AVERAGE(INDEX(INDIRECT("input!" &amp; $G$112 &amp; ":" &amp; $G$112),FirstRowInput+Integration*COUNT($B$114:B407)):INDEX(INDIRECT("input!" &amp; $G$112 &amp; ":" &amp; $G$112),FirstRowInput+Integration*COUNT($B$114:B407)+Integration-1))*$G$110,"")</f>
        <v/>
      </c>
      <c r="H408" s="77" t="str">
        <f ca="1">IFERROR(AVERAGE(INDEX(INDIRECT("input!" &amp; $H$112 &amp; ":" &amp; $H$112),FirstRowInput+Integration*COUNT($B$114:B407)):INDEX(INDIRECT("input!" &amp; $H$112 &amp; ":" &amp; $H$112),FirstRowInput+Integration*COUNT($B$114:B407)+Integration-1))*$H$110,"")</f>
        <v/>
      </c>
      <c r="I408" s="42">
        <v>296</v>
      </c>
      <c r="S408" s="463"/>
    </row>
    <row r="409" spans="1:19" x14ac:dyDescent="0.15">
      <c r="A409" s="75">
        <f ca="1">IFERROR(IF(AND(MAX($A$114:A408)&gt;A408+1, MAX($A$114:A408)&gt;20),0,IF(AND(D409="",G409=""),0,IF(OR(D409&gt;LimitSignB10, G409&gt;LimitSignB11),A408+1,0))),"")</f>
        <v>0</v>
      </c>
      <c r="B409" s="76" t="str">
        <f ca="1">IFERROR(MyTime(INDEX(INDIRECT("input!"&amp;$B$112&amp;":"&amp;$B$112),FirstRowInput+Integration*COUNT($B$114:B408)) )* $B$110,"")</f>
        <v/>
      </c>
      <c r="C409" s="77" t="str">
        <f ca="1">IFERROR(AVERAGE(INDEX(INDIRECT("input!" &amp; $C$112 &amp; ":" &amp; $C$112),FirstRowInput+Integration*COUNT($B$114:B408)):INDEX(INDIRECT("input!" &amp; $C$112 &amp; ":" &amp; $C$112),FirstRowInput+Integration*COUNT($B$114:B408)+Integration-1))*$C$110,"")</f>
        <v/>
      </c>
      <c r="D409" s="77" t="str">
        <f ca="1">IFERROR(AVERAGE(INDEX(INDIRECT("input!" &amp; $D$112 &amp; ":" &amp; $D$112),FirstRowInput+Integration*COUNT($B$114:B408)):INDEX(INDIRECT("input!" &amp; $D$112 &amp; ":" &amp; $D$112),FirstRowInput+Integration*COUNT($B$114:B408)+Integration-1))*$D$110,"")</f>
        <v/>
      </c>
      <c r="E409" s="77" t="str">
        <f ca="1">IFERROR(AVERAGE(INDEX(INDIRECT("input!" &amp; $E$112 &amp; ":" &amp; $E$112),FirstRowInput+Integration*COUNT($B$114:B408)):INDEX(INDIRECT("input!" &amp; $E$112 &amp; ":" &amp; $E$112),FirstRowInput+Integration*COUNT($B$114:B408)+Integration-1))*$E$110,"")</f>
        <v/>
      </c>
      <c r="F409" s="77" t="str">
        <f ca="1">IFERROR(AVERAGE(INDEX(INDIRECT("input!" &amp; $F$112 &amp; ":" &amp; $F$112),FirstRowInput+Integration*COUNT($B$114:B408)):INDEX(INDIRECT("input!" &amp; $F$112 &amp; ":" &amp; $F$112),FirstRowInput+Integration*COUNT($B$114:B408)+Integration-1))*$F$110,"")</f>
        <v/>
      </c>
      <c r="G409" s="77" t="str">
        <f ca="1">IFERROR(AVERAGE(INDEX(INDIRECT("input!" &amp; $G$112 &amp; ":" &amp; $G$112),FirstRowInput+Integration*COUNT($B$114:B408)):INDEX(INDIRECT("input!" &amp; $G$112 &amp; ":" &amp; $G$112),FirstRowInput+Integration*COUNT($B$114:B408)+Integration-1))*$G$110,"")</f>
        <v/>
      </c>
      <c r="H409" s="77" t="str">
        <f ca="1">IFERROR(AVERAGE(INDEX(INDIRECT("input!" &amp; $H$112 &amp; ":" &amp; $H$112),FirstRowInput+Integration*COUNT($B$114:B408)):INDEX(INDIRECT("input!" &amp; $H$112 &amp; ":" &amp; $H$112),FirstRowInput+Integration*COUNT($B$114:B408)+Integration-1))*$H$110,"")</f>
        <v/>
      </c>
      <c r="I409" s="42">
        <v>297</v>
      </c>
      <c r="S409" s="463"/>
    </row>
    <row r="410" spans="1:19" x14ac:dyDescent="0.15">
      <c r="A410" s="75">
        <f ca="1">IFERROR(IF(AND(MAX($A$114:A409)&gt;A409+1, MAX($A$114:A409)&gt;20),0,IF(AND(D410="",G410=""),0,IF(OR(D410&gt;LimitSignB10, G410&gt;LimitSignB11),A409+1,0))),"")</f>
        <v>0</v>
      </c>
      <c r="B410" s="76" t="str">
        <f ca="1">IFERROR(MyTime(INDEX(INDIRECT("input!"&amp;$B$112&amp;":"&amp;$B$112),FirstRowInput+Integration*COUNT($B$114:B409)) )* $B$110,"")</f>
        <v/>
      </c>
      <c r="C410" s="77" t="str">
        <f ca="1">IFERROR(AVERAGE(INDEX(INDIRECT("input!" &amp; $C$112 &amp; ":" &amp; $C$112),FirstRowInput+Integration*COUNT($B$114:B409)):INDEX(INDIRECT("input!" &amp; $C$112 &amp; ":" &amp; $C$112),FirstRowInput+Integration*COUNT($B$114:B409)+Integration-1))*$C$110,"")</f>
        <v/>
      </c>
      <c r="D410" s="77" t="str">
        <f ca="1">IFERROR(AVERAGE(INDEX(INDIRECT("input!" &amp; $D$112 &amp; ":" &amp; $D$112),FirstRowInput+Integration*COUNT($B$114:B409)):INDEX(INDIRECT("input!" &amp; $D$112 &amp; ":" &amp; $D$112),FirstRowInput+Integration*COUNT($B$114:B409)+Integration-1))*$D$110,"")</f>
        <v/>
      </c>
      <c r="E410" s="77" t="str">
        <f ca="1">IFERROR(AVERAGE(INDEX(INDIRECT("input!" &amp; $E$112 &amp; ":" &amp; $E$112),FirstRowInput+Integration*COUNT($B$114:B409)):INDEX(INDIRECT("input!" &amp; $E$112 &amp; ":" &amp; $E$112),FirstRowInput+Integration*COUNT($B$114:B409)+Integration-1))*$E$110,"")</f>
        <v/>
      </c>
      <c r="F410" s="77" t="str">
        <f ca="1">IFERROR(AVERAGE(INDEX(INDIRECT("input!" &amp; $F$112 &amp; ":" &amp; $F$112),FirstRowInput+Integration*COUNT($B$114:B409)):INDEX(INDIRECT("input!" &amp; $F$112 &amp; ":" &amp; $F$112),FirstRowInput+Integration*COUNT($B$114:B409)+Integration-1))*$F$110,"")</f>
        <v/>
      </c>
      <c r="G410" s="77" t="str">
        <f ca="1">IFERROR(AVERAGE(INDEX(INDIRECT("input!" &amp; $G$112 &amp; ":" &amp; $G$112),FirstRowInput+Integration*COUNT($B$114:B409)):INDEX(INDIRECT("input!" &amp; $G$112 &amp; ":" &amp; $G$112),FirstRowInput+Integration*COUNT($B$114:B409)+Integration-1))*$G$110,"")</f>
        <v/>
      </c>
      <c r="H410" s="77" t="str">
        <f ca="1">IFERROR(AVERAGE(INDEX(INDIRECT("input!" &amp; $H$112 &amp; ":" &amp; $H$112),FirstRowInput+Integration*COUNT($B$114:B409)):INDEX(INDIRECT("input!" &amp; $H$112 &amp; ":" &amp; $H$112),FirstRowInput+Integration*COUNT($B$114:B409)+Integration-1))*$H$110,"")</f>
        <v/>
      </c>
      <c r="I410" s="42">
        <v>298</v>
      </c>
      <c r="S410" s="463"/>
    </row>
    <row r="411" spans="1:19" x14ac:dyDescent="0.15">
      <c r="A411" s="75">
        <f ca="1">IFERROR(IF(AND(MAX($A$114:A410)&gt;A410+1, MAX($A$114:A410)&gt;20),0,IF(AND(D411="",G411=""),0,IF(OR(D411&gt;LimitSignB10, G411&gt;LimitSignB11),A410+1,0))),"")</f>
        <v>0</v>
      </c>
      <c r="B411" s="76" t="str">
        <f ca="1">IFERROR(MyTime(INDEX(INDIRECT("input!"&amp;$B$112&amp;":"&amp;$B$112),FirstRowInput+Integration*COUNT($B$114:B410)) )* $B$110,"")</f>
        <v/>
      </c>
      <c r="C411" s="77" t="str">
        <f ca="1">IFERROR(AVERAGE(INDEX(INDIRECT("input!" &amp; $C$112 &amp; ":" &amp; $C$112),FirstRowInput+Integration*COUNT($B$114:B410)):INDEX(INDIRECT("input!" &amp; $C$112 &amp; ":" &amp; $C$112),FirstRowInput+Integration*COUNT($B$114:B410)+Integration-1))*$C$110,"")</f>
        <v/>
      </c>
      <c r="D411" s="77" t="str">
        <f ca="1">IFERROR(AVERAGE(INDEX(INDIRECT("input!" &amp; $D$112 &amp; ":" &amp; $D$112),FirstRowInput+Integration*COUNT($B$114:B410)):INDEX(INDIRECT("input!" &amp; $D$112 &amp; ":" &amp; $D$112),FirstRowInput+Integration*COUNT($B$114:B410)+Integration-1))*$D$110,"")</f>
        <v/>
      </c>
      <c r="E411" s="77" t="str">
        <f ca="1">IFERROR(AVERAGE(INDEX(INDIRECT("input!" &amp; $E$112 &amp; ":" &amp; $E$112),FirstRowInput+Integration*COUNT($B$114:B410)):INDEX(INDIRECT("input!" &amp; $E$112 &amp; ":" &amp; $E$112),FirstRowInput+Integration*COUNT($B$114:B410)+Integration-1))*$E$110,"")</f>
        <v/>
      </c>
      <c r="F411" s="77" t="str">
        <f ca="1">IFERROR(AVERAGE(INDEX(INDIRECT("input!" &amp; $F$112 &amp; ":" &amp; $F$112),FirstRowInput+Integration*COUNT($B$114:B410)):INDEX(INDIRECT("input!" &amp; $F$112 &amp; ":" &amp; $F$112),FirstRowInput+Integration*COUNT($B$114:B410)+Integration-1))*$F$110,"")</f>
        <v/>
      </c>
      <c r="G411" s="77" t="str">
        <f ca="1">IFERROR(AVERAGE(INDEX(INDIRECT("input!" &amp; $G$112 &amp; ":" &amp; $G$112),FirstRowInput+Integration*COUNT($B$114:B410)):INDEX(INDIRECT("input!" &amp; $G$112 &amp; ":" &amp; $G$112),FirstRowInput+Integration*COUNT($B$114:B410)+Integration-1))*$G$110,"")</f>
        <v/>
      </c>
      <c r="H411" s="77" t="str">
        <f ca="1">IFERROR(AVERAGE(INDEX(INDIRECT("input!" &amp; $H$112 &amp; ":" &amp; $H$112),FirstRowInput+Integration*COUNT($B$114:B410)):INDEX(INDIRECT("input!" &amp; $H$112 &amp; ":" &amp; $H$112),FirstRowInput+Integration*COUNT($B$114:B410)+Integration-1))*$H$110,"")</f>
        <v/>
      </c>
      <c r="I411" s="42">
        <v>299</v>
      </c>
      <c r="S411" s="463"/>
    </row>
    <row r="412" spans="1:19" x14ac:dyDescent="0.15">
      <c r="A412" s="75">
        <f ca="1">IFERROR(IF(AND(MAX($A$114:A411)&gt;A411+1, MAX($A$114:A411)&gt;20),0,IF(AND(D412="",G412=""),0,IF(OR(D412&gt;LimitSignB10, G412&gt;LimitSignB11),A411+1,0))),"")</f>
        <v>0</v>
      </c>
      <c r="B412" s="76" t="str">
        <f ca="1">IFERROR(MyTime(INDEX(INDIRECT("input!"&amp;$B$112&amp;":"&amp;$B$112),FirstRowInput+Integration*COUNT($B$114:B411)) )* $B$110,"")</f>
        <v/>
      </c>
      <c r="C412" s="77" t="str">
        <f ca="1">IFERROR(AVERAGE(INDEX(INDIRECT("input!" &amp; $C$112 &amp; ":" &amp; $C$112),FirstRowInput+Integration*COUNT($B$114:B411)):INDEX(INDIRECT("input!" &amp; $C$112 &amp; ":" &amp; $C$112),FirstRowInput+Integration*COUNT($B$114:B411)+Integration-1))*$C$110,"")</f>
        <v/>
      </c>
      <c r="D412" s="77" t="str">
        <f ca="1">IFERROR(AVERAGE(INDEX(INDIRECT("input!" &amp; $D$112 &amp; ":" &amp; $D$112),FirstRowInput+Integration*COUNT($B$114:B411)):INDEX(INDIRECT("input!" &amp; $D$112 &amp; ":" &amp; $D$112),FirstRowInput+Integration*COUNT($B$114:B411)+Integration-1))*$D$110,"")</f>
        <v/>
      </c>
      <c r="E412" s="77" t="str">
        <f ca="1">IFERROR(AVERAGE(INDEX(INDIRECT("input!" &amp; $E$112 &amp; ":" &amp; $E$112),FirstRowInput+Integration*COUNT($B$114:B411)):INDEX(INDIRECT("input!" &amp; $E$112 &amp; ":" &amp; $E$112),FirstRowInput+Integration*COUNT($B$114:B411)+Integration-1))*$E$110,"")</f>
        <v/>
      </c>
      <c r="F412" s="77" t="str">
        <f ca="1">IFERROR(AVERAGE(INDEX(INDIRECT("input!" &amp; $F$112 &amp; ":" &amp; $F$112),FirstRowInput+Integration*COUNT($B$114:B411)):INDEX(INDIRECT("input!" &amp; $F$112 &amp; ":" &amp; $F$112),FirstRowInput+Integration*COUNT($B$114:B411)+Integration-1))*$F$110,"")</f>
        <v/>
      </c>
      <c r="G412" s="77" t="str">
        <f ca="1">IFERROR(AVERAGE(INDEX(INDIRECT("input!" &amp; $G$112 &amp; ":" &amp; $G$112),FirstRowInput+Integration*COUNT($B$114:B411)):INDEX(INDIRECT("input!" &amp; $G$112 &amp; ":" &amp; $G$112),FirstRowInput+Integration*COUNT($B$114:B411)+Integration-1))*$G$110,"")</f>
        <v/>
      </c>
      <c r="H412" s="77" t="str">
        <f ca="1">IFERROR(AVERAGE(INDEX(INDIRECT("input!" &amp; $H$112 &amp; ":" &amp; $H$112),FirstRowInput+Integration*COUNT($B$114:B411)):INDEX(INDIRECT("input!" &amp; $H$112 &amp; ":" &amp; $H$112),FirstRowInput+Integration*COUNT($B$114:B411)+Integration-1))*$H$110,"")</f>
        <v/>
      </c>
      <c r="I412" s="42">
        <v>300</v>
      </c>
      <c r="S412" s="463"/>
    </row>
    <row r="413" spans="1:19" x14ac:dyDescent="0.15">
      <c r="A413" s="75">
        <f ca="1">IFERROR(IF(AND(MAX($A$114:A412)&gt;A412+1, MAX($A$114:A412)&gt;20),0,IF(AND(D413="",G413=""),0,IF(OR(D413&gt;LimitSignB10, G413&gt;LimitSignB11),A412+1,0))),"")</f>
        <v>0</v>
      </c>
      <c r="B413" s="76" t="str">
        <f ca="1">IFERROR(MyTime(INDEX(INDIRECT("input!"&amp;$B$112&amp;":"&amp;$B$112),FirstRowInput+Integration*COUNT($B$114:B412)) )* $B$110,"")</f>
        <v/>
      </c>
      <c r="C413" s="77" t="str">
        <f ca="1">IFERROR(AVERAGE(INDEX(INDIRECT("input!" &amp; $C$112 &amp; ":" &amp; $C$112),FirstRowInput+Integration*COUNT($B$114:B412)):INDEX(INDIRECT("input!" &amp; $C$112 &amp; ":" &amp; $C$112),FirstRowInput+Integration*COUNT($B$114:B412)+Integration-1))*$C$110,"")</f>
        <v/>
      </c>
      <c r="D413" s="77" t="str">
        <f ca="1">IFERROR(AVERAGE(INDEX(INDIRECT("input!" &amp; $D$112 &amp; ":" &amp; $D$112),FirstRowInput+Integration*COUNT($B$114:B412)):INDEX(INDIRECT("input!" &amp; $D$112 &amp; ":" &amp; $D$112),FirstRowInput+Integration*COUNT($B$114:B412)+Integration-1))*$D$110,"")</f>
        <v/>
      </c>
      <c r="E413" s="77" t="str">
        <f ca="1">IFERROR(AVERAGE(INDEX(INDIRECT("input!" &amp; $E$112 &amp; ":" &amp; $E$112),FirstRowInput+Integration*COUNT($B$114:B412)):INDEX(INDIRECT("input!" &amp; $E$112 &amp; ":" &amp; $E$112),FirstRowInput+Integration*COUNT($B$114:B412)+Integration-1))*$E$110,"")</f>
        <v/>
      </c>
      <c r="F413" s="77" t="str">
        <f ca="1">IFERROR(AVERAGE(INDEX(INDIRECT("input!" &amp; $F$112 &amp; ":" &amp; $F$112),FirstRowInput+Integration*COUNT($B$114:B412)):INDEX(INDIRECT("input!" &amp; $F$112 &amp; ":" &amp; $F$112),FirstRowInput+Integration*COUNT($B$114:B412)+Integration-1))*$F$110,"")</f>
        <v/>
      </c>
      <c r="G413" s="77" t="str">
        <f ca="1">IFERROR(AVERAGE(INDEX(INDIRECT("input!" &amp; $G$112 &amp; ":" &amp; $G$112),FirstRowInput+Integration*COUNT($B$114:B412)):INDEX(INDIRECT("input!" &amp; $G$112 &amp; ":" &amp; $G$112),FirstRowInput+Integration*COUNT($B$114:B412)+Integration-1))*$G$110,"")</f>
        <v/>
      </c>
      <c r="H413" s="77" t="str">
        <f ca="1">IFERROR(AVERAGE(INDEX(INDIRECT("input!" &amp; $H$112 &amp; ":" &amp; $H$112),FirstRowInput+Integration*COUNT($B$114:B412)):INDEX(INDIRECT("input!" &amp; $H$112 &amp; ":" &amp; $H$112),FirstRowInput+Integration*COUNT($B$114:B412)+Integration-1))*$H$110,"")</f>
        <v/>
      </c>
      <c r="I413" s="42">
        <v>301</v>
      </c>
      <c r="S413" s="463"/>
    </row>
    <row r="414" spans="1:19" x14ac:dyDescent="0.15">
      <c r="A414" s="75">
        <f ca="1">IFERROR(IF(AND(MAX($A$114:A413)&gt;A413+1, MAX($A$114:A413)&gt;20),0,IF(AND(D414="",G414=""),0,IF(OR(D414&gt;LimitSignB10, G414&gt;LimitSignB11),A413+1,0))),"")</f>
        <v>0</v>
      </c>
      <c r="B414" s="76" t="str">
        <f ca="1">IFERROR(MyTime(INDEX(INDIRECT("input!"&amp;$B$112&amp;":"&amp;$B$112),FirstRowInput+Integration*COUNT($B$114:B413)) )* $B$110,"")</f>
        <v/>
      </c>
      <c r="C414" s="77" t="str">
        <f ca="1">IFERROR(AVERAGE(INDEX(INDIRECT("input!" &amp; $C$112 &amp; ":" &amp; $C$112),FirstRowInput+Integration*COUNT($B$114:B413)):INDEX(INDIRECT("input!" &amp; $C$112 &amp; ":" &amp; $C$112),FirstRowInput+Integration*COUNT($B$114:B413)+Integration-1))*$C$110,"")</f>
        <v/>
      </c>
      <c r="D414" s="77" t="str">
        <f ca="1">IFERROR(AVERAGE(INDEX(INDIRECT("input!" &amp; $D$112 &amp; ":" &amp; $D$112),FirstRowInput+Integration*COUNT($B$114:B413)):INDEX(INDIRECT("input!" &amp; $D$112 &amp; ":" &amp; $D$112),FirstRowInput+Integration*COUNT($B$114:B413)+Integration-1))*$D$110,"")</f>
        <v/>
      </c>
      <c r="E414" s="77" t="str">
        <f ca="1">IFERROR(AVERAGE(INDEX(INDIRECT("input!" &amp; $E$112 &amp; ":" &amp; $E$112),FirstRowInput+Integration*COUNT($B$114:B413)):INDEX(INDIRECT("input!" &amp; $E$112 &amp; ":" &amp; $E$112),FirstRowInput+Integration*COUNT($B$114:B413)+Integration-1))*$E$110,"")</f>
        <v/>
      </c>
      <c r="F414" s="77" t="str">
        <f ca="1">IFERROR(AVERAGE(INDEX(INDIRECT("input!" &amp; $F$112 &amp; ":" &amp; $F$112),FirstRowInput+Integration*COUNT($B$114:B413)):INDEX(INDIRECT("input!" &amp; $F$112 &amp; ":" &amp; $F$112),FirstRowInput+Integration*COUNT($B$114:B413)+Integration-1))*$F$110,"")</f>
        <v/>
      </c>
      <c r="G414" s="77" t="str">
        <f ca="1">IFERROR(AVERAGE(INDEX(INDIRECT("input!" &amp; $G$112 &amp; ":" &amp; $G$112),FirstRowInput+Integration*COUNT($B$114:B413)):INDEX(INDIRECT("input!" &amp; $G$112 &amp; ":" &amp; $G$112),FirstRowInput+Integration*COUNT($B$114:B413)+Integration-1))*$G$110,"")</f>
        <v/>
      </c>
      <c r="H414" s="77" t="str">
        <f ca="1">IFERROR(AVERAGE(INDEX(INDIRECT("input!" &amp; $H$112 &amp; ":" &amp; $H$112),FirstRowInput+Integration*COUNT($B$114:B413)):INDEX(INDIRECT("input!" &amp; $H$112 &amp; ":" &amp; $H$112),FirstRowInput+Integration*COUNT($B$114:B413)+Integration-1))*$H$110,"")</f>
        <v/>
      </c>
      <c r="I414" s="42">
        <v>302</v>
      </c>
      <c r="S414" s="463"/>
    </row>
    <row r="415" spans="1:19" x14ac:dyDescent="0.15">
      <c r="A415" s="75">
        <f ca="1">IFERROR(IF(AND(MAX($A$114:A414)&gt;A414+1, MAX($A$114:A414)&gt;20),0,IF(AND(D415="",G415=""),0,IF(OR(D415&gt;LimitSignB10, G415&gt;LimitSignB11),A414+1,0))),"")</f>
        <v>0</v>
      </c>
      <c r="B415" s="76" t="str">
        <f ca="1">IFERROR(MyTime(INDEX(INDIRECT("input!"&amp;$B$112&amp;":"&amp;$B$112),FirstRowInput+Integration*COUNT($B$114:B414)) )* $B$110,"")</f>
        <v/>
      </c>
      <c r="C415" s="77" t="str">
        <f ca="1">IFERROR(AVERAGE(INDEX(INDIRECT("input!" &amp; $C$112 &amp; ":" &amp; $C$112),FirstRowInput+Integration*COUNT($B$114:B414)):INDEX(INDIRECT("input!" &amp; $C$112 &amp; ":" &amp; $C$112),FirstRowInput+Integration*COUNT($B$114:B414)+Integration-1))*$C$110,"")</f>
        <v/>
      </c>
      <c r="D415" s="77" t="str">
        <f ca="1">IFERROR(AVERAGE(INDEX(INDIRECT("input!" &amp; $D$112 &amp; ":" &amp; $D$112),FirstRowInput+Integration*COUNT($B$114:B414)):INDEX(INDIRECT("input!" &amp; $D$112 &amp; ":" &amp; $D$112),FirstRowInput+Integration*COUNT($B$114:B414)+Integration-1))*$D$110,"")</f>
        <v/>
      </c>
      <c r="E415" s="77" t="str">
        <f ca="1">IFERROR(AVERAGE(INDEX(INDIRECT("input!" &amp; $E$112 &amp; ":" &amp; $E$112),FirstRowInput+Integration*COUNT($B$114:B414)):INDEX(INDIRECT("input!" &amp; $E$112 &amp; ":" &amp; $E$112),FirstRowInput+Integration*COUNT($B$114:B414)+Integration-1))*$E$110,"")</f>
        <v/>
      </c>
      <c r="F415" s="77" t="str">
        <f ca="1">IFERROR(AVERAGE(INDEX(INDIRECT("input!" &amp; $F$112 &amp; ":" &amp; $F$112),FirstRowInput+Integration*COUNT($B$114:B414)):INDEX(INDIRECT("input!" &amp; $F$112 &amp; ":" &amp; $F$112),FirstRowInput+Integration*COUNT($B$114:B414)+Integration-1))*$F$110,"")</f>
        <v/>
      </c>
      <c r="G415" s="77" t="str">
        <f ca="1">IFERROR(AVERAGE(INDEX(INDIRECT("input!" &amp; $G$112 &amp; ":" &amp; $G$112),FirstRowInput+Integration*COUNT($B$114:B414)):INDEX(INDIRECT("input!" &amp; $G$112 &amp; ":" &amp; $G$112),FirstRowInput+Integration*COUNT($B$114:B414)+Integration-1))*$G$110,"")</f>
        <v/>
      </c>
      <c r="H415" s="77" t="str">
        <f ca="1">IFERROR(AVERAGE(INDEX(INDIRECT("input!" &amp; $H$112 &amp; ":" &amp; $H$112),FirstRowInput+Integration*COUNT($B$114:B414)):INDEX(INDIRECT("input!" &amp; $H$112 &amp; ":" &amp; $H$112),FirstRowInput+Integration*COUNT($B$114:B414)+Integration-1))*$H$110,"")</f>
        <v/>
      </c>
      <c r="I415" s="42">
        <v>303</v>
      </c>
      <c r="S415" s="463"/>
    </row>
    <row r="416" spans="1:19" x14ac:dyDescent="0.15">
      <c r="A416" s="75">
        <f ca="1">IFERROR(IF(AND(MAX($A$114:A415)&gt;A415+1, MAX($A$114:A415)&gt;20),0,IF(AND(D416="",G416=""),0,IF(OR(D416&gt;LimitSignB10, G416&gt;LimitSignB11),A415+1,0))),"")</f>
        <v>0</v>
      </c>
      <c r="B416" s="76" t="str">
        <f ca="1">IFERROR(MyTime(INDEX(INDIRECT("input!"&amp;$B$112&amp;":"&amp;$B$112),FirstRowInput+Integration*COUNT($B$114:B415)) )* $B$110,"")</f>
        <v/>
      </c>
      <c r="C416" s="77" t="str">
        <f ca="1">IFERROR(AVERAGE(INDEX(INDIRECT("input!" &amp; $C$112 &amp; ":" &amp; $C$112),FirstRowInput+Integration*COUNT($B$114:B415)):INDEX(INDIRECT("input!" &amp; $C$112 &amp; ":" &amp; $C$112),FirstRowInput+Integration*COUNT($B$114:B415)+Integration-1))*$C$110,"")</f>
        <v/>
      </c>
      <c r="D416" s="77" t="str">
        <f ca="1">IFERROR(AVERAGE(INDEX(INDIRECT("input!" &amp; $D$112 &amp; ":" &amp; $D$112),FirstRowInput+Integration*COUNT($B$114:B415)):INDEX(INDIRECT("input!" &amp; $D$112 &amp; ":" &amp; $D$112),FirstRowInput+Integration*COUNT($B$114:B415)+Integration-1))*$D$110,"")</f>
        <v/>
      </c>
      <c r="E416" s="77" t="str">
        <f ca="1">IFERROR(AVERAGE(INDEX(INDIRECT("input!" &amp; $E$112 &amp; ":" &amp; $E$112),FirstRowInput+Integration*COUNT($B$114:B415)):INDEX(INDIRECT("input!" &amp; $E$112 &amp; ":" &amp; $E$112),FirstRowInput+Integration*COUNT($B$114:B415)+Integration-1))*$E$110,"")</f>
        <v/>
      </c>
      <c r="F416" s="77" t="str">
        <f ca="1">IFERROR(AVERAGE(INDEX(INDIRECT("input!" &amp; $F$112 &amp; ":" &amp; $F$112),FirstRowInput+Integration*COUNT($B$114:B415)):INDEX(INDIRECT("input!" &amp; $F$112 &amp; ":" &amp; $F$112),FirstRowInput+Integration*COUNT($B$114:B415)+Integration-1))*$F$110,"")</f>
        <v/>
      </c>
      <c r="G416" s="77" t="str">
        <f ca="1">IFERROR(AVERAGE(INDEX(INDIRECT("input!" &amp; $G$112 &amp; ":" &amp; $G$112),FirstRowInput+Integration*COUNT($B$114:B415)):INDEX(INDIRECT("input!" &amp; $G$112 &amp; ":" &amp; $G$112),FirstRowInput+Integration*COUNT($B$114:B415)+Integration-1))*$G$110,"")</f>
        <v/>
      </c>
      <c r="H416" s="77" t="str">
        <f ca="1">IFERROR(AVERAGE(INDEX(INDIRECT("input!" &amp; $H$112 &amp; ":" &amp; $H$112),FirstRowInput+Integration*COUNT($B$114:B415)):INDEX(INDIRECT("input!" &amp; $H$112 &amp; ":" &amp; $H$112),FirstRowInput+Integration*COUNT($B$114:B415)+Integration-1))*$H$110,"")</f>
        <v/>
      </c>
      <c r="I416" s="42">
        <v>304</v>
      </c>
      <c r="S416" s="463"/>
    </row>
    <row r="417" spans="1:40" x14ac:dyDescent="0.15">
      <c r="A417" s="75">
        <f ca="1">IFERROR(IF(AND(MAX($A$114:A416)&gt;A416+1, MAX($A$114:A416)&gt;20),0,IF(AND(D417="",G417=""),0,IF(OR(D417&gt;LimitSignB10, G417&gt;LimitSignB11),A416+1,0))),"")</f>
        <v>0</v>
      </c>
      <c r="B417" s="76" t="str">
        <f ca="1">IFERROR(MyTime(INDEX(INDIRECT("input!"&amp;$B$112&amp;":"&amp;$B$112),FirstRowInput+Integration*COUNT($B$114:B416)) )* $B$110,"")</f>
        <v/>
      </c>
      <c r="C417" s="77" t="str">
        <f ca="1">IFERROR(AVERAGE(INDEX(INDIRECT("input!" &amp; $C$112 &amp; ":" &amp; $C$112),FirstRowInput+Integration*COUNT($B$114:B416)):INDEX(INDIRECT("input!" &amp; $C$112 &amp; ":" &amp; $C$112),FirstRowInput+Integration*COUNT($B$114:B416)+Integration-1))*$C$110,"")</f>
        <v/>
      </c>
      <c r="D417" s="77" t="str">
        <f ca="1">IFERROR(AVERAGE(INDEX(INDIRECT("input!" &amp; $D$112 &amp; ":" &amp; $D$112),FirstRowInput+Integration*COUNT($B$114:B416)):INDEX(INDIRECT("input!" &amp; $D$112 &amp; ":" &amp; $D$112),FirstRowInput+Integration*COUNT($B$114:B416)+Integration-1))*$D$110,"")</f>
        <v/>
      </c>
      <c r="E417" s="77" t="str">
        <f ca="1">IFERROR(AVERAGE(INDEX(INDIRECT("input!" &amp; $E$112 &amp; ":" &amp; $E$112),FirstRowInput+Integration*COUNT($B$114:B416)):INDEX(INDIRECT("input!" &amp; $E$112 &amp; ":" &amp; $E$112),FirstRowInput+Integration*COUNT($B$114:B416)+Integration-1))*$E$110,"")</f>
        <v/>
      </c>
      <c r="F417" s="77" t="str">
        <f ca="1">IFERROR(AVERAGE(INDEX(INDIRECT("input!" &amp; $F$112 &amp; ":" &amp; $F$112),FirstRowInput+Integration*COUNT($B$114:B416)):INDEX(INDIRECT("input!" &amp; $F$112 &amp; ":" &amp; $F$112),FirstRowInput+Integration*COUNT($B$114:B416)+Integration-1))*$F$110,"")</f>
        <v/>
      </c>
      <c r="G417" s="77" t="str">
        <f ca="1">IFERROR(AVERAGE(INDEX(INDIRECT("input!" &amp; $G$112 &amp; ":" &amp; $G$112),FirstRowInput+Integration*COUNT($B$114:B416)):INDEX(INDIRECT("input!" &amp; $G$112 &amp; ":" &amp; $G$112),FirstRowInput+Integration*COUNT($B$114:B416)+Integration-1))*$G$110,"")</f>
        <v/>
      </c>
      <c r="H417" s="77" t="str">
        <f ca="1">IFERROR(AVERAGE(INDEX(INDIRECT("input!" &amp; $H$112 &amp; ":" &amp; $H$112),FirstRowInput+Integration*COUNT($B$114:B416)):INDEX(INDIRECT("input!" &amp; $H$112 &amp; ":" &amp; $H$112),FirstRowInput+Integration*COUNT($B$114:B416)+Integration-1))*$H$110,"")</f>
        <v/>
      </c>
      <c r="I417" s="42">
        <v>305</v>
      </c>
      <c r="S417" s="463"/>
    </row>
    <row r="418" spans="1:40" x14ac:dyDescent="0.15">
      <c r="A418" s="75">
        <f ca="1">IFERROR(IF(AND(MAX($A$114:A417)&gt;A417+1, MAX($A$114:A417)&gt;20),0,IF(AND(D418="",G418=""),0,IF(OR(D418&gt;LimitSignB10, G418&gt;LimitSignB11),A417+1,0))),"")</f>
        <v>0</v>
      </c>
      <c r="B418" s="76" t="str">
        <f ca="1">IFERROR(MyTime(INDEX(INDIRECT("input!"&amp;$B$112&amp;":"&amp;$B$112),FirstRowInput+Integration*COUNT($B$114:B417)) )* $B$110,"")</f>
        <v/>
      </c>
      <c r="C418" s="77" t="str">
        <f ca="1">IFERROR(AVERAGE(INDEX(INDIRECT("input!" &amp; $C$112 &amp; ":" &amp; $C$112),FirstRowInput+Integration*COUNT($B$114:B417)):INDEX(INDIRECT("input!" &amp; $C$112 &amp; ":" &amp; $C$112),FirstRowInput+Integration*COUNT($B$114:B417)+Integration-1))*$C$110,"")</f>
        <v/>
      </c>
      <c r="D418" s="77" t="str">
        <f ca="1">IFERROR(AVERAGE(INDEX(INDIRECT("input!" &amp; $D$112 &amp; ":" &amp; $D$112),FirstRowInput+Integration*COUNT($B$114:B417)):INDEX(INDIRECT("input!" &amp; $D$112 &amp; ":" &amp; $D$112),FirstRowInput+Integration*COUNT($B$114:B417)+Integration-1))*$D$110,"")</f>
        <v/>
      </c>
      <c r="E418" s="77" t="str">
        <f ca="1">IFERROR(AVERAGE(INDEX(INDIRECT("input!" &amp; $E$112 &amp; ":" &amp; $E$112),FirstRowInput+Integration*COUNT($B$114:B417)):INDEX(INDIRECT("input!" &amp; $E$112 &amp; ":" &amp; $E$112),FirstRowInput+Integration*COUNT($B$114:B417)+Integration-1))*$E$110,"")</f>
        <v/>
      </c>
      <c r="F418" s="77" t="str">
        <f ca="1">IFERROR(AVERAGE(INDEX(INDIRECT("input!" &amp; $F$112 &amp; ":" &amp; $F$112),FirstRowInput+Integration*COUNT($B$114:B417)):INDEX(INDIRECT("input!" &amp; $F$112 &amp; ":" &amp; $F$112),FirstRowInput+Integration*COUNT($B$114:B417)+Integration-1))*$F$110,"")</f>
        <v/>
      </c>
      <c r="G418" s="77" t="str">
        <f ca="1">IFERROR(AVERAGE(INDEX(INDIRECT("input!" &amp; $G$112 &amp; ":" &amp; $G$112),FirstRowInput+Integration*COUNT($B$114:B417)):INDEX(INDIRECT("input!" &amp; $G$112 &amp; ":" &amp; $G$112),FirstRowInput+Integration*COUNT($B$114:B417)+Integration-1))*$G$110,"")</f>
        <v/>
      </c>
      <c r="H418" s="77" t="str">
        <f ca="1">IFERROR(AVERAGE(INDEX(INDIRECT("input!" &amp; $H$112 &amp; ":" &amp; $H$112),FirstRowInput+Integration*COUNT($B$114:B417)):INDEX(INDIRECT("input!" &amp; $H$112 &amp; ":" &amp; $H$112),FirstRowInput+Integration*COUNT($B$114:B417)+Integration-1))*$H$110,"")</f>
        <v/>
      </c>
      <c r="I418" s="42">
        <v>306</v>
      </c>
      <c r="S418" s="463"/>
    </row>
    <row r="419" spans="1:40" x14ac:dyDescent="0.15">
      <c r="A419" s="75">
        <f ca="1">IFERROR(IF(AND(MAX($A$114:A418)&gt;A418+1, MAX($A$114:A418)&gt;20),0,IF(AND(D419="",G419=""),0,IF(OR(D419&gt;LimitSignB10, G419&gt;LimitSignB11),A418+1,0))),"")</f>
        <v>0</v>
      </c>
      <c r="B419" s="76" t="str">
        <f ca="1">IFERROR(MyTime(INDEX(INDIRECT("input!"&amp;$B$112&amp;":"&amp;$B$112),FirstRowInput+Integration*COUNT($B$114:B418)) )* $B$110,"")</f>
        <v/>
      </c>
      <c r="C419" s="77" t="str">
        <f ca="1">IFERROR(AVERAGE(INDEX(INDIRECT("input!" &amp; $C$112 &amp; ":" &amp; $C$112),FirstRowInput+Integration*COUNT($B$114:B418)):INDEX(INDIRECT("input!" &amp; $C$112 &amp; ":" &amp; $C$112),FirstRowInput+Integration*COUNT($B$114:B418)+Integration-1))*$C$110,"")</f>
        <v/>
      </c>
      <c r="D419" s="77" t="str">
        <f ca="1">IFERROR(AVERAGE(INDEX(INDIRECT("input!" &amp; $D$112 &amp; ":" &amp; $D$112),FirstRowInput+Integration*COUNT($B$114:B418)):INDEX(INDIRECT("input!" &amp; $D$112 &amp; ":" &amp; $D$112),FirstRowInput+Integration*COUNT($B$114:B418)+Integration-1))*$D$110,"")</f>
        <v/>
      </c>
      <c r="E419" s="77" t="str">
        <f ca="1">IFERROR(AVERAGE(INDEX(INDIRECT("input!" &amp; $E$112 &amp; ":" &amp; $E$112),FirstRowInput+Integration*COUNT($B$114:B418)):INDEX(INDIRECT("input!" &amp; $E$112 &amp; ":" &amp; $E$112),FirstRowInput+Integration*COUNT($B$114:B418)+Integration-1))*$E$110,"")</f>
        <v/>
      </c>
      <c r="F419" s="77" t="str">
        <f ca="1">IFERROR(AVERAGE(INDEX(INDIRECT("input!" &amp; $F$112 &amp; ":" &amp; $F$112),FirstRowInput+Integration*COUNT($B$114:B418)):INDEX(INDIRECT("input!" &amp; $F$112 &amp; ":" &amp; $F$112),FirstRowInput+Integration*COUNT($B$114:B418)+Integration-1))*$F$110,"")</f>
        <v/>
      </c>
      <c r="G419" s="77" t="str">
        <f ca="1">IFERROR(AVERAGE(INDEX(INDIRECT("input!" &amp; $G$112 &amp; ":" &amp; $G$112),FirstRowInput+Integration*COUNT($B$114:B418)):INDEX(INDIRECT("input!" &amp; $G$112 &amp; ":" &amp; $G$112),FirstRowInput+Integration*COUNT($B$114:B418)+Integration-1))*$G$110,"")</f>
        <v/>
      </c>
      <c r="H419" s="77" t="str">
        <f ca="1">IFERROR(AVERAGE(INDEX(INDIRECT("input!" &amp; $H$112 &amp; ":" &amp; $H$112),FirstRowInput+Integration*COUNT($B$114:B418)):INDEX(INDIRECT("input!" &amp; $H$112 &amp; ":" &amp; $H$112),FirstRowInput+Integration*COUNT($B$114:B418)+Integration-1))*$H$110,"")</f>
        <v/>
      </c>
      <c r="I419" s="42">
        <v>307</v>
      </c>
      <c r="S419" s="463"/>
    </row>
    <row r="420" spans="1:40" x14ac:dyDescent="0.15">
      <c r="A420" s="75">
        <f ca="1">IFERROR(IF(AND(MAX($A$114:A419)&gt;A419+1, MAX($A$114:A419)&gt;20),0,IF(AND(D420="",G420=""),0,IF(OR(D420&gt;LimitSignB10, G420&gt;LimitSignB11),A419+1,0))),"")</f>
        <v>0</v>
      </c>
      <c r="B420" s="76" t="str">
        <f ca="1">IFERROR(MyTime(INDEX(INDIRECT("input!"&amp;$B$112&amp;":"&amp;$B$112),FirstRowInput+Integration*COUNT($B$114:B419)) )* $B$110,"")</f>
        <v/>
      </c>
      <c r="C420" s="77" t="str">
        <f ca="1">IFERROR(AVERAGE(INDEX(INDIRECT("input!" &amp; $C$112 &amp; ":" &amp; $C$112),FirstRowInput+Integration*COUNT($B$114:B419)):INDEX(INDIRECT("input!" &amp; $C$112 &amp; ":" &amp; $C$112),FirstRowInput+Integration*COUNT($B$114:B419)+Integration-1))*$C$110,"")</f>
        <v/>
      </c>
      <c r="D420" s="77" t="str">
        <f ca="1">IFERROR(AVERAGE(INDEX(INDIRECT("input!" &amp; $D$112 &amp; ":" &amp; $D$112),FirstRowInput+Integration*COUNT($B$114:B419)):INDEX(INDIRECT("input!" &amp; $D$112 &amp; ":" &amp; $D$112),FirstRowInput+Integration*COUNT($B$114:B419)+Integration-1))*$D$110,"")</f>
        <v/>
      </c>
      <c r="E420" s="77" t="str">
        <f ca="1">IFERROR(AVERAGE(INDEX(INDIRECT("input!" &amp; $E$112 &amp; ":" &amp; $E$112),FirstRowInput+Integration*COUNT($B$114:B419)):INDEX(INDIRECT("input!" &amp; $E$112 &amp; ":" &amp; $E$112),FirstRowInput+Integration*COUNT($B$114:B419)+Integration-1))*$E$110,"")</f>
        <v/>
      </c>
      <c r="F420" s="77" t="str">
        <f ca="1">IFERROR(AVERAGE(INDEX(INDIRECT("input!" &amp; $F$112 &amp; ":" &amp; $F$112),FirstRowInput+Integration*COUNT($B$114:B419)):INDEX(INDIRECT("input!" &amp; $F$112 &amp; ":" &amp; $F$112),FirstRowInput+Integration*COUNT($B$114:B419)+Integration-1))*$F$110,"")</f>
        <v/>
      </c>
      <c r="G420" s="77" t="str">
        <f ca="1">IFERROR(AVERAGE(INDEX(INDIRECT("input!" &amp; $G$112 &amp; ":" &amp; $G$112),FirstRowInput+Integration*COUNT($B$114:B419)):INDEX(INDIRECT("input!" &amp; $G$112 &amp; ":" &amp; $G$112),FirstRowInput+Integration*COUNT($B$114:B419)+Integration-1))*$G$110,"")</f>
        <v/>
      </c>
      <c r="H420" s="77" t="str">
        <f ca="1">IFERROR(AVERAGE(INDEX(INDIRECT("input!" &amp; $H$112 &amp; ":" &amp; $H$112),FirstRowInput+Integration*COUNT($B$114:B419)):INDEX(INDIRECT("input!" &amp; $H$112 &amp; ":" &amp; $H$112),FirstRowInput+Integration*COUNT($B$114:B419)+Integration-1))*$H$110,"")</f>
        <v/>
      </c>
      <c r="I420" s="42">
        <v>308</v>
      </c>
      <c r="S420" s="463"/>
      <c r="T420"/>
      <c r="U420"/>
      <c r="V420"/>
      <c r="W420"/>
      <c r="X420"/>
      <c r="Y420"/>
      <c r="Z420"/>
    </row>
    <row r="421" spans="1:40" x14ac:dyDescent="0.15">
      <c r="A421" s="75">
        <f ca="1">IFERROR(IF(AND(MAX($A$114:A420)&gt;A420+1, MAX($A$114:A420)&gt;20),0,IF(AND(D421="",G421=""),0,IF(OR(D421&gt;LimitSignB10, G421&gt;LimitSignB11),A420+1,0))),"")</f>
        <v>0</v>
      </c>
      <c r="B421" s="76" t="str">
        <f ca="1">IFERROR(MyTime(INDEX(INDIRECT("input!"&amp;$B$112&amp;":"&amp;$B$112),FirstRowInput+Integration*COUNT($B$114:B420)) )* $B$110,"")</f>
        <v/>
      </c>
      <c r="C421" s="77" t="str">
        <f ca="1">IFERROR(AVERAGE(INDEX(INDIRECT("input!" &amp; $C$112 &amp; ":" &amp; $C$112),FirstRowInput+Integration*COUNT($B$114:B420)):INDEX(INDIRECT("input!" &amp; $C$112 &amp; ":" &amp; $C$112),FirstRowInput+Integration*COUNT($B$114:B420)+Integration-1))*$C$110,"")</f>
        <v/>
      </c>
      <c r="D421" s="77" t="str">
        <f ca="1">IFERROR(AVERAGE(INDEX(INDIRECT("input!" &amp; $D$112 &amp; ":" &amp; $D$112),FirstRowInput+Integration*COUNT($B$114:B420)):INDEX(INDIRECT("input!" &amp; $D$112 &amp; ":" &amp; $D$112),FirstRowInput+Integration*COUNT($B$114:B420)+Integration-1))*$D$110,"")</f>
        <v/>
      </c>
      <c r="E421" s="77" t="str">
        <f ca="1">IFERROR(AVERAGE(INDEX(INDIRECT("input!" &amp; $E$112 &amp; ":" &amp; $E$112),FirstRowInput+Integration*COUNT($B$114:B420)):INDEX(INDIRECT("input!" &amp; $E$112 &amp; ":" &amp; $E$112),FirstRowInput+Integration*COUNT($B$114:B420)+Integration-1))*$E$110,"")</f>
        <v/>
      </c>
      <c r="F421" s="77" t="str">
        <f ca="1">IFERROR(AVERAGE(INDEX(INDIRECT("input!" &amp; $F$112 &amp; ":" &amp; $F$112),FirstRowInput+Integration*COUNT($B$114:B420)):INDEX(INDIRECT("input!" &amp; $F$112 &amp; ":" &amp; $F$112),FirstRowInput+Integration*COUNT($B$114:B420)+Integration-1))*$F$110,"")</f>
        <v/>
      </c>
      <c r="G421" s="77" t="str">
        <f ca="1">IFERROR(AVERAGE(INDEX(INDIRECT("input!" &amp; $G$112 &amp; ":" &amp; $G$112),FirstRowInput+Integration*COUNT($B$114:B420)):INDEX(INDIRECT("input!" &amp; $G$112 &amp; ":" &amp; $G$112),FirstRowInput+Integration*COUNT($B$114:B420)+Integration-1))*$G$110,"")</f>
        <v/>
      </c>
      <c r="H421" s="77" t="str">
        <f ca="1">IFERROR(AVERAGE(INDEX(INDIRECT("input!" &amp; $H$112 &amp; ":" &amp; $H$112),FirstRowInput+Integration*COUNT($B$114:B420)):INDEX(INDIRECT("input!" &amp; $H$112 &amp; ":" &amp; $H$112),FirstRowInput+Integration*COUNT($B$114:B420)+Integration-1))*$H$110,"")</f>
        <v/>
      </c>
      <c r="I421" s="42">
        <v>309</v>
      </c>
      <c r="J421"/>
      <c r="K421"/>
      <c r="L421"/>
      <c r="M421"/>
      <c r="N421"/>
      <c r="O421"/>
      <c r="P421"/>
      <c r="Q421"/>
      <c r="R421"/>
      <c r="S421" s="463"/>
      <c r="T421"/>
      <c r="U421"/>
      <c r="V421"/>
      <c r="W421"/>
      <c r="X421"/>
      <c r="Y421"/>
      <c r="Z421"/>
      <c r="AA421"/>
      <c r="AB421"/>
      <c r="AC421"/>
      <c r="AD421"/>
      <c r="AE421"/>
      <c r="AF421"/>
      <c r="AG421"/>
      <c r="AH421"/>
      <c r="AI421"/>
      <c r="AJ421"/>
      <c r="AK421"/>
      <c r="AL421"/>
      <c r="AM421"/>
      <c r="AN421"/>
    </row>
    <row r="422" spans="1:40" x14ac:dyDescent="0.15">
      <c r="A422" s="75">
        <f ca="1">IFERROR(IF(AND(MAX($A$114:A421)&gt;A421+1, MAX($A$114:A421)&gt;20),0,IF(AND(D422="",G422=""),0,IF(OR(D422&gt;LimitSignB10, G422&gt;LimitSignB11),A421+1,0))),"")</f>
        <v>0</v>
      </c>
      <c r="B422" s="76" t="str">
        <f ca="1">IFERROR(MyTime(INDEX(INDIRECT("input!"&amp;$B$112&amp;":"&amp;$B$112),FirstRowInput+Integration*COUNT($B$114:B421)) )* $B$110,"")</f>
        <v/>
      </c>
      <c r="C422" s="77" t="str">
        <f ca="1">IFERROR(AVERAGE(INDEX(INDIRECT("input!" &amp; $C$112 &amp; ":" &amp; $C$112),FirstRowInput+Integration*COUNT($B$114:B421)):INDEX(INDIRECT("input!" &amp; $C$112 &amp; ":" &amp; $C$112),FirstRowInput+Integration*COUNT($B$114:B421)+Integration-1))*$C$110,"")</f>
        <v/>
      </c>
      <c r="D422" s="77" t="str">
        <f ca="1">IFERROR(AVERAGE(INDEX(INDIRECT("input!" &amp; $D$112 &amp; ":" &amp; $D$112),FirstRowInput+Integration*COUNT($B$114:B421)):INDEX(INDIRECT("input!" &amp; $D$112 &amp; ":" &amp; $D$112),FirstRowInput+Integration*COUNT($B$114:B421)+Integration-1))*$D$110,"")</f>
        <v/>
      </c>
      <c r="E422" s="77" t="str">
        <f ca="1">IFERROR(AVERAGE(INDEX(INDIRECT("input!" &amp; $E$112 &amp; ":" &amp; $E$112),FirstRowInput+Integration*COUNT($B$114:B421)):INDEX(INDIRECT("input!" &amp; $E$112 &amp; ":" &amp; $E$112),FirstRowInput+Integration*COUNT($B$114:B421)+Integration-1))*$E$110,"")</f>
        <v/>
      </c>
      <c r="F422" s="77" t="str">
        <f ca="1">IFERROR(AVERAGE(INDEX(INDIRECT("input!" &amp; $F$112 &amp; ":" &amp; $F$112),FirstRowInput+Integration*COUNT($B$114:B421)):INDEX(INDIRECT("input!" &amp; $F$112 &amp; ":" &amp; $F$112),FirstRowInput+Integration*COUNT($B$114:B421)+Integration-1))*$F$110,"")</f>
        <v/>
      </c>
      <c r="G422" s="77" t="str">
        <f ca="1">IFERROR(AVERAGE(INDEX(INDIRECT("input!" &amp; $G$112 &amp; ":" &amp; $G$112),FirstRowInput+Integration*COUNT($B$114:B421)):INDEX(INDIRECT("input!" &amp; $G$112 &amp; ":" &amp; $G$112),FirstRowInput+Integration*COUNT($B$114:B421)+Integration-1))*$G$110,"")</f>
        <v/>
      </c>
      <c r="H422" s="77" t="str">
        <f ca="1">IFERROR(AVERAGE(INDEX(INDIRECT("input!" &amp; $H$112 &amp; ":" &amp; $H$112),FirstRowInput+Integration*COUNT($B$114:B421)):INDEX(INDIRECT("input!" &amp; $H$112 &amp; ":" &amp; $H$112),FirstRowInput+Integration*COUNT($B$114:B421)+Integration-1))*$H$110,"")</f>
        <v/>
      </c>
      <c r="I422" s="42">
        <v>310</v>
      </c>
      <c r="J422"/>
      <c r="K422"/>
      <c r="L422"/>
      <c r="M422"/>
      <c r="N422"/>
      <c r="O422"/>
      <c r="P422"/>
      <c r="Q422"/>
      <c r="R422"/>
      <c r="S422" s="463"/>
      <c r="T422"/>
      <c r="U422"/>
      <c r="V422"/>
      <c r="W422"/>
      <c r="X422"/>
      <c r="Y422"/>
      <c r="Z422"/>
      <c r="AA422"/>
      <c r="AB422"/>
      <c r="AC422"/>
      <c r="AD422"/>
      <c r="AE422"/>
      <c r="AF422"/>
      <c r="AG422"/>
      <c r="AH422"/>
      <c r="AI422"/>
      <c r="AJ422"/>
      <c r="AK422"/>
      <c r="AL422"/>
      <c r="AM422"/>
      <c r="AN422"/>
    </row>
    <row r="423" spans="1:40" x14ac:dyDescent="0.15">
      <c r="A423" s="75">
        <f ca="1">IFERROR(IF(AND(MAX($A$114:A422)&gt;A422+1, MAX($A$114:A422)&gt;20),0,IF(AND(D423="",G423=""),0,IF(OR(D423&gt;LimitSignB10, G423&gt;LimitSignB11),A422+1,0))),"")</f>
        <v>0</v>
      </c>
      <c r="B423" s="76" t="str">
        <f ca="1">IFERROR(MyTime(INDEX(INDIRECT("input!"&amp;$B$112&amp;":"&amp;$B$112),FirstRowInput+Integration*COUNT($B$114:B422)) )* $B$110,"")</f>
        <v/>
      </c>
      <c r="C423" s="77" t="str">
        <f ca="1">IFERROR(AVERAGE(INDEX(INDIRECT("input!" &amp; $C$112 &amp; ":" &amp; $C$112),FirstRowInput+Integration*COUNT($B$114:B422)):INDEX(INDIRECT("input!" &amp; $C$112 &amp; ":" &amp; $C$112),FirstRowInput+Integration*COUNT($B$114:B422)+Integration-1))*$C$110,"")</f>
        <v/>
      </c>
      <c r="D423" s="77" t="str">
        <f ca="1">IFERROR(AVERAGE(INDEX(INDIRECT("input!" &amp; $D$112 &amp; ":" &amp; $D$112),FirstRowInput+Integration*COUNT($B$114:B422)):INDEX(INDIRECT("input!" &amp; $D$112 &amp; ":" &amp; $D$112),FirstRowInput+Integration*COUNT($B$114:B422)+Integration-1))*$D$110,"")</f>
        <v/>
      </c>
      <c r="E423" s="77" t="str">
        <f ca="1">IFERROR(AVERAGE(INDEX(INDIRECT("input!" &amp; $E$112 &amp; ":" &amp; $E$112),FirstRowInput+Integration*COUNT($B$114:B422)):INDEX(INDIRECT("input!" &amp; $E$112 &amp; ":" &amp; $E$112),FirstRowInput+Integration*COUNT($B$114:B422)+Integration-1))*$E$110,"")</f>
        <v/>
      </c>
      <c r="F423" s="77" t="str">
        <f ca="1">IFERROR(AVERAGE(INDEX(INDIRECT("input!" &amp; $F$112 &amp; ":" &amp; $F$112),FirstRowInput+Integration*COUNT($B$114:B422)):INDEX(INDIRECT("input!" &amp; $F$112 &amp; ":" &amp; $F$112),FirstRowInput+Integration*COUNT($B$114:B422)+Integration-1))*$F$110,"")</f>
        <v/>
      </c>
      <c r="G423" s="77" t="str">
        <f ca="1">IFERROR(AVERAGE(INDEX(INDIRECT("input!" &amp; $G$112 &amp; ":" &amp; $G$112),FirstRowInput+Integration*COUNT($B$114:B422)):INDEX(INDIRECT("input!" &amp; $G$112 &amp; ":" &amp; $G$112),FirstRowInput+Integration*COUNT($B$114:B422)+Integration-1))*$G$110,"")</f>
        <v/>
      </c>
      <c r="H423" s="77" t="str">
        <f ca="1">IFERROR(AVERAGE(INDEX(INDIRECT("input!" &amp; $H$112 &amp; ":" &amp; $H$112),FirstRowInput+Integration*COUNT($B$114:B422)):INDEX(INDIRECT("input!" &amp; $H$112 &amp; ":" &amp; $H$112),FirstRowInput+Integration*COUNT($B$114:B422)+Integration-1))*$H$110,"")</f>
        <v/>
      </c>
      <c r="I423" s="42">
        <v>311</v>
      </c>
      <c r="J423"/>
      <c r="K423"/>
      <c r="L423"/>
      <c r="M423"/>
      <c r="N423"/>
      <c r="O423"/>
      <c r="P423"/>
      <c r="Q423"/>
      <c r="R423"/>
      <c r="S423" s="463"/>
      <c r="T423"/>
      <c r="U423"/>
      <c r="V423"/>
      <c r="W423"/>
      <c r="X423"/>
      <c r="Y423"/>
      <c r="Z423"/>
      <c r="AA423"/>
      <c r="AB423"/>
      <c r="AC423"/>
      <c r="AD423"/>
      <c r="AE423"/>
      <c r="AF423"/>
      <c r="AG423"/>
      <c r="AH423"/>
      <c r="AI423"/>
      <c r="AJ423"/>
      <c r="AK423"/>
      <c r="AL423"/>
      <c r="AM423"/>
      <c r="AN423"/>
    </row>
    <row r="424" spans="1:40" x14ac:dyDescent="0.15">
      <c r="A424" s="75">
        <f ca="1">IFERROR(IF(AND(MAX($A$114:A423)&gt;A423+1, MAX($A$114:A423)&gt;20),0,IF(AND(D424="",G424=""),0,IF(OR(D424&gt;LimitSignB10, G424&gt;LimitSignB11),A423+1,0))),"")</f>
        <v>0</v>
      </c>
      <c r="B424" s="76" t="str">
        <f ca="1">IFERROR(MyTime(INDEX(INDIRECT("input!"&amp;$B$112&amp;":"&amp;$B$112),FirstRowInput+Integration*COUNT($B$114:B423)) )* $B$110,"")</f>
        <v/>
      </c>
      <c r="C424" s="77" t="str">
        <f ca="1">IFERROR(AVERAGE(INDEX(INDIRECT("input!" &amp; $C$112 &amp; ":" &amp; $C$112),FirstRowInput+Integration*COUNT($B$114:B423)):INDEX(INDIRECT("input!" &amp; $C$112 &amp; ":" &amp; $C$112),FirstRowInput+Integration*COUNT($B$114:B423)+Integration-1))*$C$110,"")</f>
        <v/>
      </c>
      <c r="D424" s="77" t="str">
        <f ca="1">IFERROR(AVERAGE(INDEX(INDIRECT("input!" &amp; $D$112 &amp; ":" &amp; $D$112),FirstRowInput+Integration*COUNT($B$114:B423)):INDEX(INDIRECT("input!" &amp; $D$112 &amp; ":" &amp; $D$112),FirstRowInput+Integration*COUNT($B$114:B423)+Integration-1))*$D$110,"")</f>
        <v/>
      </c>
      <c r="E424" s="77" t="str">
        <f ca="1">IFERROR(AVERAGE(INDEX(INDIRECT("input!" &amp; $E$112 &amp; ":" &amp; $E$112),FirstRowInput+Integration*COUNT($B$114:B423)):INDEX(INDIRECT("input!" &amp; $E$112 &amp; ":" &amp; $E$112),FirstRowInput+Integration*COUNT($B$114:B423)+Integration-1))*$E$110,"")</f>
        <v/>
      </c>
      <c r="F424" s="77" t="str">
        <f ca="1">IFERROR(AVERAGE(INDEX(INDIRECT("input!" &amp; $F$112 &amp; ":" &amp; $F$112),FirstRowInput+Integration*COUNT($B$114:B423)):INDEX(INDIRECT("input!" &amp; $F$112 &amp; ":" &amp; $F$112),FirstRowInput+Integration*COUNT($B$114:B423)+Integration-1))*$F$110,"")</f>
        <v/>
      </c>
      <c r="G424" s="77" t="str">
        <f ca="1">IFERROR(AVERAGE(INDEX(INDIRECT("input!" &amp; $G$112 &amp; ":" &amp; $G$112),FirstRowInput+Integration*COUNT($B$114:B423)):INDEX(INDIRECT("input!" &amp; $G$112 &amp; ":" &amp; $G$112),FirstRowInput+Integration*COUNT($B$114:B423)+Integration-1))*$G$110,"")</f>
        <v/>
      </c>
      <c r="H424" s="77" t="str">
        <f ca="1">IFERROR(AVERAGE(INDEX(INDIRECT("input!" &amp; $H$112 &amp; ":" &amp; $H$112),FirstRowInput+Integration*COUNT($B$114:B423)):INDEX(INDIRECT("input!" &amp; $H$112 &amp; ":" &amp; $H$112),FirstRowInput+Integration*COUNT($B$114:B423)+Integration-1))*$H$110,"")</f>
        <v/>
      </c>
      <c r="I424" s="42">
        <v>312</v>
      </c>
      <c r="J424"/>
      <c r="K424"/>
      <c r="L424"/>
      <c r="M424"/>
      <c r="N424"/>
      <c r="O424"/>
      <c r="P424"/>
      <c r="Q424"/>
      <c r="R424"/>
      <c r="S424" s="463"/>
      <c r="T424"/>
      <c r="U424"/>
      <c r="V424"/>
      <c r="W424"/>
      <c r="X424"/>
      <c r="Y424"/>
      <c r="Z424"/>
      <c r="AA424"/>
      <c r="AB424"/>
      <c r="AC424"/>
      <c r="AD424"/>
      <c r="AE424"/>
      <c r="AF424"/>
      <c r="AG424"/>
      <c r="AH424"/>
      <c r="AI424"/>
      <c r="AJ424"/>
      <c r="AK424"/>
      <c r="AL424"/>
      <c r="AM424"/>
      <c r="AN424"/>
    </row>
    <row r="425" spans="1:40" x14ac:dyDescent="0.15">
      <c r="A425" s="75">
        <f ca="1">IFERROR(IF(AND(MAX($A$114:A424)&gt;A424+1, MAX($A$114:A424)&gt;20),0,IF(AND(D425="",G425=""),0,IF(OR(D425&gt;LimitSignB10, G425&gt;LimitSignB11),A424+1,0))),"")</f>
        <v>0</v>
      </c>
      <c r="B425" s="76" t="str">
        <f ca="1">IFERROR(MyTime(INDEX(INDIRECT("input!"&amp;$B$112&amp;":"&amp;$B$112),FirstRowInput+Integration*COUNT($B$114:B424)) )* $B$110,"")</f>
        <v/>
      </c>
      <c r="C425" s="77" t="str">
        <f ca="1">IFERROR(AVERAGE(INDEX(INDIRECT("input!" &amp; $C$112 &amp; ":" &amp; $C$112),FirstRowInput+Integration*COUNT($B$114:B424)):INDEX(INDIRECT("input!" &amp; $C$112 &amp; ":" &amp; $C$112),FirstRowInput+Integration*COUNT($B$114:B424)+Integration-1))*$C$110,"")</f>
        <v/>
      </c>
      <c r="D425" s="77" t="str">
        <f ca="1">IFERROR(AVERAGE(INDEX(INDIRECT("input!" &amp; $D$112 &amp; ":" &amp; $D$112),FirstRowInput+Integration*COUNT($B$114:B424)):INDEX(INDIRECT("input!" &amp; $D$112 &amp; ":" &amp; $D$112),FirstRowInput+Integration*COUNT($B$114:B424)+Integration-1))*$D$110,"")</f>
        <v/>
      </c>
      <c r="E425" s="77" t="str">
        <f ca="1">IFERROR(AVERAGE(INDEX(INDIRECT("input!" &amp; $E$112 &amp; ":" &amp; $E$112),FirstRowInput+Integration*COUNT($B$114:B424)):INDEX(INDIRECT("input!" &amp; $E$112 &amp; ":" &amp; $E$112),FirstRowInput+Integration*COUNT($B$114:B424)+Integration-1))*$E$110,"")</f>
        <v/>
      </c>
      <c r="F425" s="77" t="str">
        <f ca="1">IFERROR(AVERAGE(INDEX(INDIRECT("input!" &amp; $F$112 &amp; ":" &amp; $F$112),FirstRowInput+Integration*COUNT($B$114:B424)):INDEX(INDIRECT("input!" &amp; $F$112 &amp; ":" &amp; $F$112),FirstRowInput+Integration*COUNT($B$114:B424)+Integration-1))*$F$110,"")</f>
        <v/>
      </c>
      <c r="G425" s="77" t="str">
        <f ca="1">IFERROR(AVERAGE(INDEX(INDIRECT("input!" &amp; $G$112 &amp; ":" &amp; $G$112),FirstRowInput+Integration*COUNT($B$114:B424)):INDEX(INDIRECT("input!" &amp; $G$112 &amp; ":" &amp; $G$112),FirstRowInput+Integration*COUNT($B$114:B424)+Integration-1))*$G$110,"")</f>
        <v/>
      </c>
      <c r="H425" s="77" t="str">
        <f ca="1">IFERROR(AVERAGE(INDEX(INDIRECT("input!" &amp; $H$112 &amp; ":" &amp; $H$112),FirstRowInput+Integration*COUNT($B$114:B424)):INDEX(INDIRECT("input!" &amp; $H$112 &amp; ":" &amp; $H$112),FirstRowInput+Integration*COUNT($B$114:B424)+Integration-1))*$H$110,"")</f>
        <v/>
      </c>
      <c r="I425" s="42">
        <v>313</v>
      </c>
      <c r="J425"/>
      <c r="K425"/>
      <c r="L425"/>
      <c r="M425"/>
      <c r="N425"/>
      <c r="O425"/>
      <c r="P425"/>
      <c r="Q425"/>
      <c r="R425"/>
      <c r="S425" s="463"/>
      <c r="T425"/>
      <c r="U425"/>
      <c r="V425"/>
      <c r="W425"/>
      <c r="X425"/>
      <c r="Y425"/>
      <c r="Z425"/>
      <c r="AA425"/>
      <c r="AB425"/>
      <c r="AC425"/>
      <c r="AD425"/>
      <c r="AE425"/>
      <c r="AF425"/>
      <c r="AG425"/>
      <c r="AH425"/>
      <c r="AI425"/>
      <c r="AJ425"/>
      <c r="AK425"/>
      <c r="AL425"/>
      <c r="AM425"/>
      <c r="AN425"/>
    </row>
    <row r="426" spans="1:40" x14ac:dyDescent="0.15">
      <c r="A426" s="75">
        <f ca="1">IFERROR(IF(AND(MAX($A$114:A425)&gt;A425+1, MAX($A$114:A425)&gt;20),0,IF(AND(D426="",G426=""),0,IF(OR(D426&gt;LimitSignB10, G426&gt;LimitSignB11),A425+1,0))),"")</f>
        <v>0</v>
      </c>
      <c r="B426" s="76" t="str">
        <f ca="1">IFERROR(MyTime(INDEX(INDIRECT("input!"&amp;$B$112&amp;":"&amp;$B$112),FirstRowInput+Integration*COUNT($B$114:B425)) )* $B$110,"")</f>
        <v/>
      </c>
      <c r="C426" s="77" t="str">
        <f ca="1">IFERROR(AVERAGE(INDEX(INDIRECT("input!" &amp; $C$112 &amp; ":" &amp; $C$112),FirstRowInput+Integration*COUNT($B$114:B425)):INDEX(INDIRECT("input!" &amp; $C$112 &amp; ":" &amp; $C$112),FirstRowInput+Integration*COUNT($B$114:B425)+Integration-1))*$C$110,"")</f>
        <v/>
      </c>
      <c r="D426" s="77" t="str">
        <f ca="1">IFERROR(AVERAGE(INDEX(INDIRECT("input!" &amp; $D$112 &amp; ":" &amp; $D$112),FirstRowInput+Integration*COUNT($B$114:B425)):INDEX(INDIRECT("input!" &amp; $D$112 &amp; ":" &amp; $D$112),FirstRowInput+Integration*COUNT($B$114:B425)+Integration-1))*$D$110,"")</f>
        <v/>
      </c>
      <c r="E426" s="77" t="str">
        <f ca="1">IFERROR(AVERAGE(INDEX(INDIRECT("input!" &amp; $E$112 &amp; ":" &amp; $E$112),FirstRowInput+Integration*COUNT($B$114:B425)):INDEX(INDIRECT("input!" &amp; $E$112 &amp; ":" &amp; $E$112),FirstRowInput+Integration*COUNT($B$114:B425)+Integration-1))*$E$110,"")</f>
        <v/>
      </c>
      <c r="F426" s="77" t="str">
        <f ca="1">IFERROR(AVERAGE(INDEX(INDIRECT("input!" &amp; $F$112 &amp; ":" &amp; $F$112),FirstRowInput+Integration*COUNT($B$114:B425)):INDEX(INDIRECT("input!" &amp; $F$112 &amp; ":" &amp; $F$112),FirstRowInput+Integration*COUNT($B$114:B425)+Integration-1))*$F$110,"")</f>
        <v/>
      </c>
      <c r="G426" s="77" t="str">
        <f ca="1">IFERROR(AVERAGE(INDEX(INDIRECT("input!" &amp; $G$112 &amp; ":" &amp; $G$112),FirstRowInput+Integration*COUNT($B$114:B425)):INDEX(INDIRECT("input!" &amp; $G$112 &amp; ":" &amp; $G$112),FirstRowInput+Integration*COUNT($B$114:B425)+Integration-1))*$G$110,"")</f>
        <v/>
      </c>
      <c r="H426" s="77" t="str">
        <f ca="1">IFERROR(AVERAGE(INDEX(INDIRECT("input!" &amp; $H$112 &amp; ":" &amp; $H$112),FirstRowInput+Integration*COUNT($B$114:B425)):INDEX(INDIRECT("input!" &amp; $H$112 &amp; ":" &amp; $H$112),FirstRowInput+Integration*COUNT($B$114:B425)+Integration-1))*$H$110,"")</f>
        <v/>
      </c>
      <c r="I426" s="42">
        <v>314</v>
      </c>
      <c r="J426"/>
      <c r="K426"/>
      <c r="L426"/>
      <c r="M426"/>
      <c r="N426"/>
      <c r="O426"/>
      <c r="P426"/>
      <c r="Q426"/>
      <c r="R426"/>
      <c r="S426" s="463"/>
      <c r="T426"/>
      <c r="U426"/>
      <c r="V426"/>
      <c r="W426"/>
      <c r="X426"/>
      <c r="Y426"/>
      <c r="Z426"/>
      <c r="AA426"/>
      <c r="AB426"/>
      <c r="AC426"/>
      <c r="AD426"/>
      <c r="AE426"/>
      <c r="AF426"/>
      <c r="AG426"/>
      <c r="AH426"/>
      <c r="AI426"/>
      <c r="AJ426"/>
      <c r="AK426"/>
      <c r="AL426"/>
      <c r="AM426"/>
      <c r="AN426"/>
    </row>
    <row r="427" spans="1:40" x14ac:dyDescent="0.15">
      <c r="A427" s="75">
        <f ca="1">IFERROR(IF(AND(MAX($A$114:A426)&gt;A426+1, MAX($A$114:A426)&gt;20),0,IF(AND(D427="",G427=""),0,IF(OR(D427&gt;LimitSignB10, G427&gt;LimitSignB11),A426+1,0))),"")</f>
        <v>0</v>
      </c>
      <c r="B427" s="76" t="str">
        <f ca="1">IFERROR(MyTime(INDEX(INDIRECT("input!"&amp;$B$112&amp;":"&amp;$B$112),FirstRowInput+Integration*COUNT($B$114:B426)) )* $B$110,"")</f>
        <v/>
      </c>
      <c r="C427" s="77" t="str">
        <f ca="1">IFERROR(AVERAGE(INDEX(INDIRECT("input!" &amp; $C$112 &amp; ":" &amp; $C$112),FirstRowInput+Integration*COUNT($B$114:B426)):INDEX(INDIRECT("input!" &amp; $C$112 &amp; ":" &amp; $C$112),FirstRowInput+Integration*COUNT($B$114:B426)+Integration-1))*$C$110,"")</f>
        <v/>
      </c>
      <c r="D427" s="77" t="str">
        <f ca="1">IFERROR(AVERAGE(INDEX(INDIRECT("input!" &amp; $D$112 &amp; ":" &amp; $D$112),FirstRowInput+Integration*COUNT($B$114:B426)):INDEX(INDIRECT("input!" &amp; $D$112 &amp; ":" &amp; $D$112),FirstRowInput+Integration*COUNT($B$114:B426)+Integration-1))*$D$110,"")</f>
        <v/>
      </c>
      <c r="E427" s="77" t="str">
        <f ca="1">IFERROR(AVERAGE(INDEX(INDIRECT("input!" &amp; $E$112 &amp; ":" &amp; $E$112),FirstRowInput+Integration*COUNT($B$114:B426)):INDEX(INDIRECT("input!" &amp; $E$112 &amp; ":" &amp; $E$112),FirstRowInput+Integration*COUNT($B$114:B426)+Integration-1))*$E$110,"")</f>
        <v/>
      </c>
      <c r="F427" s="77" t="str">
        <f ca="1">IFERROR(AVERAGE(INDEX(INDIRECT("input!" &amp; $F$112 &amp; ":" &amp; $F$112),FirstRowInput+Integration*COUNT($B$114:B426)):INDEX(INDIRECT("input!" &amp; $F$112 &amp; ":" &amp; $F$112),FirstRowInput+Integration*COUNT($B$114:B426)+Integration-1))*$F$110,"")</f>
        <v/>
      </c>
      <c r="G427" s="77" t="str">
        <f ca="1">IFERROR(AVERAGE(INDEX(INDIRECT("input!" &amp; $G$112 &amp; ":" &amp; $G$112),FirstRowInput+Integration*COUNT($B$114:B426)):INDEX(INDIRECT("input!" &amp; $G$112 &amp; ":" &amp; $G$112),FirstRowInput+Integration*COUNT($B$114:B426)+Integration-1))*$G$110,"")</f>
        <v/>
      </c>
      <c r="H427" s="77" t="str">
        <f ca="1">IFERROR(AVERAGE(INDEX(INDIRECT("input!" &amp; $H$112 &amp; ":" &amp; $H$112),FirstRowInput+Integration*COUNT($B$114:B426)):INDEX(INDIRECT("input!" &amp; $H$112 &amp; ":" &amp; $H$112),FirstRowInput+Integration*COUNT($B$114:B426)+Integration-1))*$H$110,"")</f>
        <v/>
      </c>
      <c r="I427" s="42">
        <v>315</v>
      </c>
      <c r="J427"/>
      <c r="K427"/>
      <c r="L427"/>
      <c r="M427"/>
      <c r="N427"/>
      <c r="O427"/>
      <c r="P427"/>
      <c r="Q427"/>
      <c r="R427"/>
      <c r="S427" s="463"/>
      <c r="T427"/>
      <c r="U427"/>
      <c r="V427"/>
      <c r="W427"/>
      <c r="X427"/>
      <c r="Y427"/>
      <c r="Z427"/>
      <c r="AA427"/>
      <c r="AB427"/>
      <c r="AC427"/>
      <c r="AD427"/>
      <c r="AE427"/>
      <c r="AF427"/>
      <c r="AG427"/>
      <c r="AH427"/>
      <c r="AI427"/>
      <c r="AJ427"/>
      <c r="AK427"/>
      <c r="AL427"/>
      <c r="AM427"/>
      <c r="AN427"/>
    </row>
    <row r="428" spans="1:40" x14ac:dyDescent="0.15">
      <c r="A428" s="75">
        <f ca="1">IFERROR(IF(AND(MAX($A$114:A427)&gt;A427+1, MAX($A$114:A427)&gt;20),0,IF(AND(D428="",G428=""),0,IF(OR(D428&gt;LimitSignB10, G428&gt;LimitSignB11),A427+1,0))),"")</f>
        <v>0</v>
      </c>
      <c r="B428" s="76" t="str">
        <f ca="1">IFERROR(MyTime(INDEX(INDIRECT("input!"&amp;$B$112&amp;":"&amp;$B$112),FirstRowInput+Integration*COUNT($B$114:B427)) )* $B$110,"")</f>
        <v/>
      </c>
      <c r="C428" s="77" t="str">
        <f ca="1">IFERROR(AVERAGE(INDEX(INDIRECT("input!" &amp; $C$112 &amp; ":" &amp; $C$112),FirstRowInput+Integration*COUNT($B$114:B427)):INDEX(INDIRECT("input!" &amp; $C$112 &amp; ":" &amp; $C$112),FirstRowInput+Integration*COUNT($B$114:B427)+Integration-1))*$C$110,"")</f>
        <v/>
      </c>
      <c r="D428" s="77" t="str">
        <f ca="1">IFERROR(AVERAGE(INDEX(INDIRECT("input!" &amp; $D$112 &amp; ":" &amp; $D$112),FirstRowInput+Integration*COUNT($B$114:B427)):INDEX(INDIRECT("input!" &amp; $D$112 &amp; ":" &amp; $D$112),FirstRowInput+Integration*COUNT($B$114:B427)+Integration-1))*$D$110,"")</f>
        <v/>
      </c>
      <c r="E428" s="77" t="str">
        <f ca="1">IFERROR(AVERAGE(INDEX(INDIRECT("input!" &amp; $E$112 &amp; ":" &amp; $E$112),FirstRowInput+Integration*COUNT($B$114:B427)):INDEX(INDIRECT("input!" &amp; $E$112 &amp; ":" &amp; $E$112),FirstRowInput+Integration*COUNT($B$114:B427)+Integration-1))*$E$110,"")</f>
        <v/>
      </c>
      <c r="F428" s="77" t="str">
        <f ca="1">IFERROR(AVERAGE(INDEX(INDIRECT("input!" &amp; $F$112 &amp; ":" &amp; $F$112),FirstRowInput+Integration*COUNT($B$114:B427)):INDEX(INDIRECT("input!" &amp; $F$112 &amp; ":" &amp; $F$112),FirstRowInput+Integration*COUNT($B$114:B427)+Integration-1))*$F$110,"")</f>
        <v/>
      </c>
      <c r="G428" s="77" t="str">
        <f ca="1">IFERROR(AVERAGE(INDEX(INDIRECT("input!" &amp; $G$112 &amp; ":" &amp; $G$112),FirstRowInput+Integration*COUNT($B$114:B427)):INDEX(INDIRECT("input!" &amp; $G$112 &amp; ":" &amp; $G$112),FirstRowInput+Integration*COUNT($B$114:B427)+Integration-1))*$G$110,"")</f>
        <v/>
      </c>
      <c r="H428" s="77" t="str">
        <f ca="1">IFERROR(AVERAGE(INDEX(INDIRECT("input!" &amp; $H$112 &amp; ":" &amp; $H$112),FirstRowInput+Integration*COUNT($B$114:B427)):INDEX(INDIRECT("input!" &amp; $H$112 &amp; ":" &amp; $H$112),FirstRowInput+Integration*COUNT($B$114:B427)+Integration-1))*$H$110,"")</f>
        <v/>
      </c>
      <c r="I428" s="42">
        <v>316</v>
      </c>
      <c r="J428"/>
      <c r="K428"/>
      <c r="L428"/>
      <c r="M428"/>
      <c r="N428"/>
      <c r="O428"/>
      <c r="P428"/>
      <c r="Q428"/>
      <c r="R428"/>
      <c r="S428" s="463"/>
      <c r="T428"/>
      <c r="U428"/>
      <c r="V428"/>
      <c r="W428"/>
      <c r="X428"/>
      <c r="Y428"/>
      <c r="Z428"/>
      <c r="AA428"/>
      <c r="AB428"/>
      <c r="AC428"/>
      <c r="AD428"/>
      <c r="AE428"/>
      <c r="AF428"/>
      <c r="AG428"/>
      <c r="AH428"/>
      <c r="AI428"/>
      <c r="AJ428"/>
      <c r="AK428"/>
      <c r="AL428"/>
      <c r="AM428"/>
      <c r="AN428"/>
    </row>
    <row r="429" spans="1:40" x14ac:dyDescent="0.15">
      <c r="A429" s="75">
        <f ca="1">IFERROR(IF(AND(MAX($A$114:A428)&gt;A428+1, MAX($A$114:A428)&gt;20),0,IF(AND(D429="",G429=""),0,IF(OR(D429&gt;LimitSignB10, G429&gt;LimitSignB11),A428+1,0))),"")</f>
        <v>0</v>
      </c>
      <c r="B429" s="76" t="str">
        <f ca="1">IFERROR(MyTime(INDEX(INDIRECT("input!"&amp;$B$112&amp;":"&amp;$B$112),FirstRowInput+Integration*COUNT($B$114:B428)) )* $B$110,"")</f>
        <v/>
      </c>
      <c r="C429" s="77" t="str">
        <f ca="1">IFERROR(AVERAGE(INDEX(INDIRECT("input!" &amp; $C$112 &amp; ":" &amp; $C$112),FirstRowInput+Integration*COUNT($B$114:B428)):INDEX(INDIRECT("input!" &amp; $C$112 &amp; ":" &amp; $C$112),FirstRowInput+Integration*COUNT($B$114:B428)+Integration-1))*$C$110,"")</f>
        <v/>
      </c>
      <c r="D429" s="77" t="str">
        <f ca="1">IFERROR(AVERAGE(INDEX(INDIRECT("input!" &amp; $D$112 &amp; ":" &amp; $D$112),FirstRowInput+Integration*COUNT($B$114:B428)):INDEX(INDIRECT("input!" &amp; $D$112 &amp; ":" &amp; $D$112),FirstRowInput+Integration*COUNT($B$114:B428)+Integration-1))*$D$110,"")</f>
        <v/>
      </c>
      <c r="E429" s="77" t="str">
        <f ca="1">IFERROR(AVERAGE(INDEX(INDIRECT("input!" &amp; $E$112 &amp; ":" &amp; $E$112),FirstRowInput+Integration*COUNT($B$114:B428)):INDEX(INDIRECT("input!" &amp; $E$112 &amp; ":" &amp; $E$112),FirstRowInput+Integration*COUNT($B$114:B428)+Integration-1))*$E$110,"")</f>
        <v/>
      </c>
      <c r="F429" s="77" t="str">
        <f ca="1">IFERROR(AVERAGE(INDEX(INDIRECT("input!" &amp; $F$112 &amp; ":" &amp; $F$112),FirstRowInput+Integration*COUNT($B$114:B428)):INDEX(INDIRECT("input!" &amp; $F$112 &amp; ":" &amp; $F$112),FirstRowInput+Integration*COUNT($B$114:B428)+Integration-1))*$F$110,"")</f>
        <v/>
      </c>
      <c r="G429" s="77" t="str">
        <f ca="1">IFERROR(AVERAGE(INDEX(INDIRECT("input!" &amp; $G$112 &amp; ":" &amp; $G$112),FirstRowInput+Integration*COUNT($B$114:B428)):INDEX(INDIRECT("input!" &amp; $G$112 &amp; ":" &amp; $G$112),FirstRowInput+Integration*COUNT($B$114:B428)+Integration-1))*$G$110,"")</f>
        <v/>
      </c>
      <c r="H429" s="77" t="str">
        <f ca="1">IFERROR(AVERAGE(INDEX(INDIRECT("input!" &amp; $H$112 &amp; ":" &amp; $H$112),FirstRowInput+Integration*COUNT($B$114:B428)):INDEX(INDIRECT("input!" &amp; $H$112 &amp; ":" &amp; $H$112),FirstRowInput+Integration*COUNT($B$114:B428)+Integration-1))*$H$110,"")</f>
        <v/>
      </c>
      <c r="I429" s="42">
        <v>317</v>
      </c>
      <c r="J429"/>
      <c r="K429"/>
      <c r="L429"/>
      <c r="M429"/>
      <c r="N429"/>
      <c r="O429"/>
      <c r="P429"/>
      <c r="Q429"/>
      <c r="R429"/>
      <c r="S429" s="463"/>
      <c r="T429"/>
      <c r="U429"/>
      <c r="V429"/>
      <c r="W429"/>
      <c r="X429"/>
      <c r="Y429"/>
      <c r="Z429"/>
      <c r="AA429"/>
      <c r="AB429"/>
      <c r="AC429"/>
      <c r="AD429"/>
      <c r="AE429"/>
      <c r="AF429"/>
      <c r="AG429"/>
      <c r="AH429"/>
      <c r="AI429"/>
      <c r="AJ429"/>
      <c r="AK429"/>
      <c r="AL429"/>
      <c r="AM429"/>
      <c r="AN429"/>
    </row>
    <row r="430" spans="1:40" x14ac:dyDescent="0.15">
      <c r="A430" s="75">
        <f ca="1">IFERROR(IF(AND(MAX($A$114:A429)&gt;A429+1, MAX($A$114:A429)&gt;20),0,IF(AND(D430="",G430=""),0,IF(OR(D430&gt;LimitSignB10, G430&gt;LimitSignB11),A429+1,0))),"")</f>
        <v>0</v>
      </c>
      <c r="B430" s="76" t="str">
        <f ca="1">IFERROR(MyTime(INDEX(INDIRECT("input!"&amp;$B$112&amp;":"&amp;$B$112),FirstRowInput+Integration*COUNT($B$114:B429)) )* $B$110,"")</f>
        <v/>
      </c>
      <c r="C430" s="77" t="str">
        <f ca="1">IFERROR(AVERAGE(INDEX(INDIRECT("input!" &amp; $C$112 &amp; ":" &amp; $C$112),FirstRowInput+Integration*COUNT($B$114:B429)):INDEX(INDIRECT("input!" &amp; $C$112 &amp; ":" &amp; $C$112),FirstRowInput+Integration*COUNT($B$114:B429)+Integration-1))*$C$110,"")</f>
        <v/>
      </c>
      <c r="D430" s="77" t="str">
        <f ca="1">IFERROR(AVERAGE(INDEX(INDIRECT("input!" &amp; $D$112 &amp; ":" &amp; $D$112),FirstRowInput+Integration*COUNT($B$114:B429)):INDEX(INDIRECT("input!" &amp; $D$112 &amp; ":" &amp; $D$112),FirstRowInput+Integration*COUNT($B$114:B429)+Integration-1))*$D$110,"")</f>
        <v/>
      </c>
      <c r="E430" s="77" t="str">
        <f ca="1">IFERROR(AVERAGE(INDEX(INDIRECT("input!" &amp; $E$112 &amp; ":" &amp; $E$112),FirstRowInput+Integration*COUNT($B$114:B429)):INDEX(INDIRECT("input!" &amp; $E$112 &amp; ":" &amp; $E$112),FirstRowInput+Integration*COUNT($B$114:B429)+Integration-1))*$E$110,"")</f>
        <v/>
      </c>
      <c r="F430" s="77" t="str">
        <f ca="1">IFERROR(AVERAGE(INDEX(INDIRECT("input!" &amp; $F$112 &amp; ":" &amp; $F$112),FirstRowInput+Integration*COUNT($B$114:B429)):INDEX(INDIRECT("input!" &amp; $F$112 &amp; ":" &amp; $F$112),FirstRowInput+Integration*COUNT($B$114:B429)+Integration-1))*$F$110,"")</f>
        <v/>
      </c>
      <c r="G430" s="77" t="str">
        <f ca="1">IFERROR(AVERAGE(INDEX(INDIRECT("input!" &amp; $G$112 &amp; ":" &amp; $G$112),FirstRowInput+Integration*COUNT($B$114:B429)):INDEX(INDIRECT("input!" &amp; $G$112 &amp; ":" &amp; $G$112),FirstRowInput+Integration*COUNT($B$114:B429)+Integration-1))*$G$110,"")</f>
        <v/>
      </c>
      <c r="H430" s="77" t="str">
        <f ca="1">IFERROR(AVERAGE(INDEX(INDIRECT("input!" &amp; $H$112 &amp; ":" &amp; $H$112),FirstRowInput+Integration*COUNT($B$114:B429)):INDEX(INDIRECT("input!" &amp; $H$112 &amp; ":" &amp; $H$112),FirstRowInput+Integration*COUNT($B$114:B429)+Integration-1))*$H$110,"")</f>
        <v/>
      </c>
      <c r="I430" s="42">
        <v>318</v>
      </c>
      <c r="J430"/>
      <c r="K430"/>
      <c r="L430"/>
      <c r="M430"/>
      <c r="N430"/>
      <c r="O430"/>
      <c r="P430"/>
      <c r="Q430"/>
      <c r="R430"/>
      <c r="S430" s="463"/>
      <c r="T430"/>
      <c r="U430"/>
      <c r="V430"/>
      <c r="W430"/>
      <c r="X430"/>
      <c r="Y430"/>
      <c r="Z430"/>
      <c r="AA430"/>
      <c r="AB430"/>
      <c r="AC430"/>
      <c r="AD430"/>
      <c r="AE430"/>
      <c r="AF430"/>
      <c r="AG430"/>
      <c r="AH430"/>
      <c r="AI430"/>
      <c r="AJ430"/>
      <c r="AK430"/>
      <c r="AL430"/>
      <c r="AM430"/>
      <c r="AN430"/>
    </row>
    <row r="431" spans="1:40" x14ac:dyDescent="0.15">
      <c r="A431" s="75">
        <f ca="1">IFERROR(IF(AND(MAX($A$114:A430)&gt;A430+1, MAX($A$114:A430)&gt;20),0,IF(AND(D431="",G431=""),0,IF(OR(D431&gt;LimitSignB10, G431&gt;LimitSignB11),A430+1,0))),"")</f>
        <v>0</v>
      </c>
      <c r="B431" s="76" t="str">
        <f ca="1">IFERROR(MyTime(INDEX(INDIRECT("input!"&amp;$B$112&amp;":"&amp;$B$112),FirstRowInput+Integration*COUNT($B$114:B430)) )* $B$110,"")</f>
        <v/>
      </c>
      <c r="C431" s="77" t="str">
        <f ca="1">IFERROR(AVERAGE(INDEX(INDIRECT("input!" &amp; $C$112 &amp; ":" &amp; $C$112),FirstRowInput+Integration*COUNT($B$114:B430)):INDEX(INDIRECT("input!" &amp; $C$112 &amp; ":" &amp; $C$112),FirstRowInput+Integration*COUNT($B$114:B430)+Integration-1))*$C$110,"")</f>
        <v/>
      </c>
      <c r="D431" s="77" t="str">
        <f ca="1">IFERROR(AVERAGE(INDEX(INDIRECT("input!" &amp; $D$112 &amp; ":" &amp; $D$112),FirstRowInput+Integration*COUNT($B$114:B430)):INDEX(INDIRECT("input!" &amp; $D$112 &amp; ":" &amp; $D$112),FirstRowInput+Integration*COUNT($B$114:B430)+Integration-1))*$D$110,"")</f>
        <v/>
      </c>
      <c r="E431" s="77" t="str">
        <f ca="1">IFERROR(AVERAGE(INDEX(INDIRECT("input!" &amp; $E$112 &amp; ":" &amp; $E$112),FirstRowInput+Integration*COUNT($B$114:B430)):INDEX(INDIRECT("input!" &amp; $E$112 &amp; ":" &amp; $E$112),FirstRowInput+Integration*COUNT($B$114:B430)+Integration-1))*$E$110,"")</f>
        <v/>
      </c>
      <c r="F431" s="77" t="str">
        <f ca="1">IFERROR(AVERAGE(INDEX(INDIRECT("input!" &amp; $F$112 &amp; ":" &amp; $F$112),FirstRowInput+Integration*COUNT($B$114:B430)):INDEX(INDIRECT("input!" &amp; $F$112 &amp; ":" &amp; $F$112),FirstRowInput+Integration*COUNT($B$114:B430)+Integration-1))*$F$110,"")</f>
        <v/>
      </c>
      <c r="G431" s="77" t="str">
        <f ca="1">IFERROR(AVERAGE(INDEX(INDIRECT("input!" &amp; $G$112 &amp; ":" &amp; $G$112),FirstRowInput+Integration*COUNT($B$114:B430)):INDEX(INDIRECT("input!" &amp; $G$112 &amp; ":" &amp; $G$112),FirstRowInput+Integration*COUNT($B$114:B430)+Integration-1))*$G$110,"")</f>
        <v/>
      </c>
      <c r="H431" s="77" t="str">
        <f ca="1">IFERROR(AVERAGE(INDEX(INDIRECT("input!" &amp; $H$112 &amp; ":" &amp; $H$112),FirstRowInput+Integration*COUNT($B$114:B430)):INDEX(INDIRECT("input!" &amp; $H$112 &amp; ":" &amp; $H$112),FirstRowInput+Integration*COUNT($B$114:B430)+Integration-1))*$H$110,"")</f>
        <v/>
      </c>
      <c r="I431" s="42">
        <v>319</v>
      </c>
      <c r="J431"/>
      <c r="K431"/>
      <c r="L431"/>
      <c r="M431"/>
      <c r="N431"/>
      <c r="O431"/>
      <c r="P431"/>
      <c r="Q431"/>
      <c r="R431"/>
      <c r="S431" s="463"/>
      <c r="T431"/>
      <c r="U431"/>
      <c r="V431"/>
      <c r="W431"/>
      <c r="X431"/>
      <c r="Y431"/>
      <c r="Z431"/>
      <c r="AA431"/>
      <c r="AB431"/>
      <c r="AC431"/>
      <c r="AD431"/>
      <c r="AE431"/>
      <c r="AF431"/>
      <c r="AG431"/>
      <c r="AH431"/>
      <c r="AI431"/>
      <c r="AJ431"/>
      <c r="AK431"/>
      <c r="AL431"/>
      <c r="AM431"/>
      <c r="AN431"/>
    </row>
    <row r="432" spans="1:40" x14ac:dyDescent="0.15">
      <c r="A432" s="75">
        <f ca="1">IFERROR(IF(AND(MAX($A$114:A431)&gt;A431+1, MAX($A$114:A431)&gt;20),0,IF(AND(D432="",G432=""),0,IF(OR(D432&gt;LimitSignB10, G432&gt;LimitSignB11),A431+1,0))),"")</f>
        <v>0</v>
      </c>
      <c r="B432" s="76" t="str">
        <f ca="1">IFERROR(MyTime(INDEX(INDIRECT("input!"&amp;$B$112&amp;":"&amp;$B$112),FirstRowInput+Integration*COUNT($B$114:B431)) )* $B$110,"")</f>
        <v/>
      </c>
      <c r="C432" s="77" t="str">
        <f ca="1">IFERROR(AVERAGE(INDEX(INDIRECT("input!" &amp; $C$112 &amp; ":" &amp; $C$112),FirstRowInput+Integration*COUNT($B$114:B431)):INDEX(INDIRECT("input!" &amp; $C$112 &amp; ":" &amp; $C$112),FirstRowInput+Integration*COUNT($B$114:B431)+Integration-1))*$C$110,"")</f>
        <v/>
      </c>
      <c r="D432" s="77" t="str">
        <f ca="1">IFERROR(AVERAGE(INDEX(INDIRECT("input!" &amp; $D$112 &amp; ":" &amp; $D$112),FirstRowInput+Integration*COUNT($B$114:B431)):INDEX(INDIRECT("input!" &amp; $D$112 &amp; ":" &amp; $D$112),FirstRowInput+Integration*COUNT($B$114:B431)+Integration-1))*$D$110,"")</f>
        <v/>
      </c>
      <c r="E432" s="77" t="str">
        <f ca="1">IFERROR(AVERAGE(INDEX(INDIRECT("input!" &amp; $E$112 &amp; ":" &amp; $E$112),FirstRowInput+Integration*COUNT($B$114:B431)):INDEX(INDIRECT("input!" &amp; $E$112 &amp; ":" &amp; $E$112),FirstRowInput+Integration*COUNT($B$114:B431)+Integration-1))*$E$110,"")</f>
        <v/>
      </c>
      <c r="F432" s="77" t="str">
        <f ca="1">IFERROR(AVERAGE(INDEX(INDIRECT("input!" &amp; $F$112 &amp; ":" &amp; $F$112),FirstRowInput+Integration*COUNT($B$114:B431)):INDEX(INDIRECT("input!" &amp; $F$112 &amp; ":" &amp; $F$112),FirstRowInput+Integration*COUNT($B$114:B431)+Integration-1))*$F$110,"")</f>
        <v/>
      </c>
      <c r="G432" s="77" t="str">
        <f ca="1">IFERROR(AVERAGE(INDEX(INDIRECT("input!" &amp; $G$112 &amp; ":" &amp; $G$112),FirstRowInput+Integration*COUNT($B$114:B431)):INDEX(INDIRECT("input!" &amp; $G$112 &amp; ":" &amp; $G$112),FirstRowInput+Integration*COUNT($B$114:B431)+Integration-1))*$G$110,"")</f>
        <v/>
      </c>
      <c r="H432" s="77" t="str">
        <f ca="1">IFERROR(AVERAGE(INDEX(INDIRECT("input!" &amp; $H$112 &amp; ":" &amp; $H$112),FirstRowInput+Integration*COUNT($B$114:B431)):INDEX(INDIRECT("input!" &amp; $H$112 &amp; ":" &amp; $H$112),FirstRowInput+Integration*COUNT($B$114:B431)+Integration-1))*$H$110,"")</f>
        <v/>
      </c>
      <c r="I432" s="42">
        <v>320</v>
      </c>
      <c r="J432"/>
      <c r="K432"/>
      <c r="L432"/>
      <c r="M432"/>
      <c r="N432"/>
      <c r="O432"/>
      <c r="P432"/>
      <c r="Q432"/>
      <c r="R432"/>
      <c r="S432" s="463"/>
      <c r="T432"/>
      <c r="U432"/>
      <c r="V432"/>
      <c r="W432"/>
      <c r="X432"/>
      <c r="Y432"/>
      <c r="Z432"/>
      <c r="AA432"/>
      <c r="AB432"/>
      <c r="AC432"/>
      <c r="AD432"/>
      <c r="AE432"/>
      <c r="AF432"/>
      <c r="AG432"/>
      <c r="AH432"/>
      <c r="AI432"/>
      <c r="AJ432"/>
      <c r="AK432"/>
      <c r="AL432"/>
      <c r="AM432"/>
      <c r="AN432"/>
    </row>
    <row r="433" spans="1:40" x14ac:dyDescent="0.15">
      <c r="A433" s="75">
        <f ca="1">IFERROR(IF(AND(MAX($A$114:A432)&gt;A432+1, MAX($A$114:A432)&gt;20),0,IF(AND(D433="",G433=""),0,IF(OR(D433&gt;LimitSignB10, G433&gt;LimitSignB11),A432+1,0))),"")</f>
        <v>0</v>
      </c>
      <c r="B433" s="76" t="str">
        <f ca="1">IFERROR(MyTime(INDEX(INDIRECT("input!"&amp;$B$112&amp;":"&amp;$B$112),FirstRowInput+Integration*COUNT($B$114:B432)) )* $B$110,"")</f>
        <v/>
      </c>
      <c r="C433" s="77" t="str">
        <f ca="1">IFERROR(AVERAGE(INDEX(INDIRECT("input!" &amp; $C$112 &amp; ":" &amp; $C$112),FirstRowInput+Integration*COUNT($B$114:B432)):INDEX(INDIRECT("input!" &amp; $C$112 &amp; ":" &amp; $C$112),FirstRowInput+Integration*COUNT($B$114:B432)+Integration-1))*$C$110,"")</f>
        <v/>
      </c>
      <c r="D433" s="77" t="str">
        <f ca="1">IFERROR(AVERAGE(INDEX(INDIRECT("input!" &amp; $D$112 &amp; ":" &amp; $D$112),FirstRowInput+Integration*COUNT($B$114:B432)):INDEX(INDIRECT("input!" &amp; $D$112 &amp; ":" &amp; $D$112),FirstRowInput+Integration*COUNT($B$114:B432)+Integration-1))*$D$110,"")</f>
        <v/>
      </c>
      <c r="E433" s="77" t="str">
        <f ca="1">IFERROR(AVERAGE(INDEX(INDIRECT("input!" &amp; $E$112 &amp; ":" &amp; $E$112),FirstRowInput+Integration*COUNT($B$114:B432)):INDEX(INDIRECT("input!" &amp; $E$112 &amp; ":" &amp; $E$112),FirstRowInput+Integration*COUNT($B$114:B432)+Integration-1))*$E$110,"")</f>
        <v/>
      </c>
      <c r="F433" s="77" t="str">
        <f ca="1">IFERROR(AVERAGE(INDEX(INDIRECT("input!" &amp; $F$112 &amp; ":" &amp; $F$112),FirstRowInput+Integration*COUNT($B$114:B432)):INDEX(INDIRECT("input!" &amp; $F$112 &amp; ":" &amp; $F$112),FirstRowInput+Integration*COUNT($B$114:B432)+Integration-1))*$F$110,"")</f>
        <v/>
      </c>
      <c r="G433" s="77" t="str">
        <f ca="1">IFERROR(AVERAGE(INDEX(INDIRECT("input!" &amp; $G$112 &amp; ":" &amp; $G$112),FirstRowInput+Integration*COUNT($B$114:B432)):INDEX(INDIRECT("input!" &amp; $G$112 &amp; ":" &amp; $G$112),FirstRowInput+Integration*COUNT($B$114:B432)+Integration-1))*$G$110,"")</f>
        <v/>
      </c>
      <c r="H433" s="77" t="str">
        <f ca="1">IFERROR(AVERAGE(INDEX(INDIRECT("input!" &amp; $H$112 &amp; ":" &amp; $H$112),FirstRowInput+Integration*COUNT($B$114:B432)):INDEX(INDIRECT("input!" &amp; $H$112 &amp; ":" &amp; $H$112),FirstRowInput+Integration*COUNT($B$114:B432)+Integration-1))*$H$110,"")</f>
        <v/>
      </c>
      <c r="I433" s="42">
        <v>321</v>
      </c>
      <c r="J433"/>
      <c r="K433"/>
      <c r="L433"/>
      <c r="M433"/>
      <c r="N433"/>
      <c r="O433"/>
      <c r="P433"/>
      <c r="Q433"/>
      <c r="R433"/>
      <c r="S433"/>
      <c r="T433"/>
      <c r="U433"/>
      <c r="V433"/>
      <c r="W433"/>
      <c r="X433"/>
      <c r="Y433"/>
      <c r="Z433"/>
      <c r="AA433"/>
      <c r="AB433"/>
      <c r="AC433"/>
      <c r="AD433"/>
      <c r="AE433"/>
      <c r="AF433"/>
      <c r="AG433"/>
      <c r="AH433"/>
      <c r="AI433"/>
      <c r="AJ433"/>
      <c r="AK433"/>
      <c r="AL433"/>
      <c r="AM433"/>
      <c r="AN433"/>
    </row>
    <row r="434" spans="1:40" x14ac:dyDescent="0.15">
      <c r="A434" s="75">
        <f ca="1">IFERROR(IF(AND(MAX($A$114:A433)&gt;A433+1, MAX($A$114:A433)&gt;20),0,IF(AND(D434="",G434=""),0,IF(OR(D434&gt;LimitSignB10, G434&gt;LimitSignB11),A433+1,0))),"")</f>
        <v>0</v>
      </c>
      <c r="B434" s="76" t="str">
        <f ca="1">IFERROR(MyTime(INDEX(INDIRECT("input!"&amp;$B$112&amp;":"&amp;$B$112),FirstRowInput+Integration*COUNT($B$114:B433)) )* $B$110,"")</f>
        <v/>
      </c>
      <c r="C434" s="77" t="str">
        <f ca="1">IFERROR(AVERAGE(INDEX(INDIRECT("input!" &amp; $C$112 &amp; ":" &amp; $C$112),FirstRowInput+Integration*COUNT($B$114:B433)):INDEX(INDIRECT("input!" &amp; $C$112 &amp; ":" &amp; $C$112),FirstRowInput+Integration*COUNT($B$114:B433)+Integration-1))*$C$110,"")</f>
        <v/>
      </c>
      <c r="D434" s="77" t="str">
        <f ca="1">IFERROR(AVERAGE(INDEX(INDIRECT("input!" &amp; $D$112 &amp; ":" &amp; $D$112),FirstRowInput+Integration*COUNT($B$114:B433)):INDEX(INDIRECT("input!" &amp; $D$112 &amp; ":" &amp; $D$112),FirstRowInput+Integration*COUNT($B$114:B433)+Integration-1))*$D$110,"")</f>
        <v/>
      </c>
      <c r="E434" s="77" t="str">
        <f ca="1">IFERROR(AVERAGE(INDEX(INDIRECT("input!" &amp; $E$112 &amp; ":" &amp; $E$112),FirstRowInput+Integration*COUNT($B$114:B433)):INDEX(INDIRECT("input!" &amp; $E$112 &amp; ":" &amp; $E$112),FirstRowInput+Integration*COUNT($B$114:B433)+Integration-1))*$E$110,"")</f>
        <v/>
      </c>
      <c r="F434" s="77" t="str">
        <f ca="1">IFERROR(AVERAGE(INDEX(INDIRECT("input!" &amp; $F$112 &amp; ":" &amp; $F$112),FirstRowInput+Integration*COUNT($B$114:B433)):INDEX(INDIRECT("input!" &amp; $F$112 &amp; ":" &amp; $F$112),FirstRowInput+Integration*COUNT($B$114:B433)+Integration-1))*$F$110,"")</f>
        <v/>
      </c>
      <c r="G434" s="77" t="str">
        <f ca="1">IFERROR(AVERAGE(INDEX(INDIRECT("input!" &amp; $G$112 &amp; ":" &amp; $G$112),FirstRowInput+Integration*COUNT($B$114:B433)):INDEX(INDIRECT("input!" &amp; $G$112 &amp; ":" &amp; $G$112),FirstRowInput+Integration*COUNT($B$114:B433)+Integration-1))*$G$110,"")</f>
        <v/>
      </c>
      <c r="H434" s="77" t="str">
        <f ca="1">IFERROR(AVERAGE(INDEX(INDIRECT("input!" &amp; $H$112 &amp; ":" &amp; $H$112),FirstRowInput+Integration*COUNT($B$114:B433)):INDEX(INDIRECT("input!" &amp; $H$112 &amp; ":" &amp; $H$112),FirstRowInput+Integration*COUNT($B$114:B433)+Integration-1))*$H$110,"")</f>
        <v/>
      </c>
      <c r="I434" s="42">
        <v>322</v>
      </c>
      <c r="J434"/>
      <c r="K434"/>
      <c r="L434"/>
      <c r="M434"/>
      <c r="N434"/>
      <c r="O434"/>
      <c r="P434"/>
      <c r="Q434"/>
      <c r="R434"/>
      <c r="S434"/>
      <c r="T434"/>
      <c r="U434"/>
      <c r="V434"/>
      <c r="W434"/>
      <c r="X434"/>
      <c r="Y434"/>
      <c r="Z434"/>
      <c r="AA434"/>
      <c r="AB434"/>
      <c r="AC434"/>
      <c r="AD434"/>
      <c r="AE434"/>
      <c r="AF434"/>
      <c r="AG434"/>
      <c r="AH434"/>
      <c r="AI434"/>
      <c r="AJ434"/>
      <c r="AK434"/>
      <c r="AL434"/>
      <c r="AM434"/>
      <c r="AN434"/>
    </row>
    <row r="435" spans="1:40" x14ac:dyDescent="0.15">
      <c r="A435" s="75">
        <f ca="1">IFERROR(IF(AND(MAX($A$114:A434)&gt;A434+1, MAX($A$114:A434)&gt;20),0,IF(AND(D435="",G435=""),0,IF(OR(D435&gt;LimitSignB10, G435&gt;LimitSignB11),A434+1,0))),"")</f>
        <v>0</v>
      </c>
      <c r="B435" s="76" t="str">
        <f ca="1">IFERROR(MyTime(INDEX(INDIRECT("input!"&amp;$B$112&amp;":"&amp;$B$112),FirstRowInput+Integration*COUNT($B$114:B434)) )* $B$110,"")</f>
        <v/>
      </c>
      <c r="C435" s="77" t="str">
        <f ca="1">IFERROR(AVERAGE(INDEX(INDIRECT("input!" &amp; $C$112 &amp; ":" &amp; $C$112),FirstRowInput+Integration*COUNT($B$114:B434)):INDEX(INDIRECT("input!" &amp; $C$112 &amp; ":" &amp; $C$112),FirstRowInput+Integration*COUNT($B$114:B434)+Integration-1))*$C$110,"")</f>
        <v/>
      </c>
      <c r="D435" s="77" t="str">
        <f ca="1">IFERROR(AVERAGE(INDEX(INDIRECT("input!" &amp; $D$112 &amp; ":" &amp; $D$112),FirstRowInput+Integration*COUNT($B$114:B434)):INDEX(INDIRECT("input!" &amp; $D$112 &amp; ":" &amp; $D$112),FirstRowInput+Integration*COUNT($B$114:B434)+Integration-1))*$D$110,"")</f>
        <v/>
      </c>
      <c r="E435" s="77" t="str">
        <f ca="1">IFERROR(AVERAGE(INDEX(INDIRECT("input!" &amp; $E$112 &amp; ":" &amp; $E$112),FirstRowInput+Integration*COUNT($B$114:B434)):INDEX(INDIRECT("input!" &amp; $E$112 &amp; ":" &amp; $E$112),FirstRowInput+Integration*COUNT($B$114:B434)+Integration-1))*$E$110,"")</f>
        <v/>
      </c>
      <c r="F435" s="77" t="str">
        <f ca="1">IFERROR(AVERAGE(INDEX(INDIRECT("input!" &amp; $F$112 &amp; ":" &amp; $F$112),FirstRowInput+Integration*COUNT($B$114:B434)):INDEX(INDIRECT("input!" &amp; $F$112 &amp; ":" &amp; $F$112),FirstRowInput+Integration*COUNT($B$114:B434)+Integration-1))*$F$110,"")</f>
        <v/>
      </c>
      <c r="G435" s="77" t="str">
        <f ca="1">IFERROR(AVERAGE(INDEX(INDIRECT("input!" &amp; $G$112 &amp; ":" &amp; $G$112),FirstRowInput+Integration*COUNT($B$114:B434)):INDEX(INDIRECT("input!" &amp; $G$112 &amp; ":" &amp; $G$112),FirstRowInput+Integration*COUNT($B$114:B434)+Integration-1))*$G$110,"")</f>
        <v/>
      </c>
      <c r="H435" s="77" t="str">
        <f ca="1">IFERROR(AVERAGE(INDEX(INDIRECT("input!" &amp; $H$112 &amp; ":" &amp; $H$112),FirstRowInput+Integration*COUNT($B$114:B434)):INDEX(INDIRECT("input!" &amp; $H$112 &amp; ":" &amp; $H$112),FirstRowInput+Integration*COUNT($B$114:B434)+Integration-1))*$H$110,"")</f>
        <v/>
      </c>
      <c r="I435" s="42">
        <v>323</v>
      </c>
      <c r="J435"/>
      <c r="K435"/>
      <c r="L435"/>
      <c r="M435"/>
      <c r="N435"/>
      <c r="O435"/>
      <c r="P435"/>
      <c r="Q435"/>
      <c r="R435"/>
      <c r="S435"/>
      <c r="T435"/>
      <c r="U435"/>
      <c r="V435"/>
      <c r="W435"/>
      <c r="X435"/>
      <c r="Y435"/>
      <c r="Z435"/>
      <c r="AA435"/>
      <c r="AB435"/>
      <c r="AC435"/>
      <c r="AD435"/>
      <c r="AE435"/>
      <c r="AF435"/>
      <c r="AG435"/>
      <c r="AH435"/>
      <c r="AI435"/>
      <c r="AJ435"/>
      <c r="AK435"/>
      <c r="AL435"/>
      <c r="AM435"/>
      <c r="AN435"/>
    </row>
    <row r="436" spans="1:40" x14ac:dyDescent="0.15">
      <c r="A436" s="75">
        <f ca="1">IFERROR(IF(AND(MAX($A$114:A435)&gt;A435+1, MAX($A$114:A435)&gt;20),0,IF(AND(D436="",G436=""),0,IF(OR(D436&gt;LimitSignB10, G436&gt;LimitSignB11),A435+1,0))),"")</f>
        <v>0</v>
      </c>
      <c r="B436" s="76" t="str">
        <f ca="1">IFERROR(MyTime(INDEX(INDIRECT("input!"&amp;$B$112&amp;":"&amp;$B$112),FirstRowInput+Integration*COUNT($B$114:B435)) )* $B$110,"")</f>
        <v/>
      </c>
      <c r="C436" s="77" t="str">
        <f ca="1">IFERROR(AVERAGE(INDEX(INDIRECT("input!" &amp; $C$112 &amp; ":" &amp; $C$112),FirstRowInput+Integration*COUNT($B$114:B435)):INDEX(INDIRECT("input!" &amp; $C$112 &amp; ":" &amp; $C$112),FirstRowInput+Integration*COUNT($B$114:B435)+Integration-1))*$C$110,"")</f>
        <v/>
      </c>
      <c r="D436" s="77" t="str">
        <f ca="1">IFERROR(AVERAGE(INDEX(INDIRECT("input!" &amp; $D$112 &amp; ":" &amp; $D$112),FirstRowInput+Integration*COUNT($B$114:B435)):INDEX(INDIRECT("input!" &amp; $D$112 &amp; ":" &amp; $D$112),FirstRowInput+Integration*COUNT($B$114:B435)+Integration-1))*$D$110,"")</f>
        <v/>
      </c>
      <c r="E436" s="77" t="str">
        <f ca="1">IFERROR(AVERAGE(INDEX(INDIRECT("input!" &amp; $E$112 &amp; ":" &amp; $E$112),FirstRowInput+Integration*COUNT($B$114:B435)):INDEX(INDIRECT("input!" &amp; $E$112 &amp; ":" &amp; $E$112),FirstRowInput+Integration*COUNT($B$114:B435)+Integration-1))*$E$110,"")</f>
        <v/>
      </c>
      <c r="F436" s="77" t="str">
        <f ca="1">IFERROR(AVERAGE(INDEX(INDIRECT("input!" &amp; $F$112 &amp; ":" &amp; $F$112),FirstRowInput+Integration*COUNT($B$114:B435)):INDEX(INDIRECT("input!" &amp; $F$112 &amp; ":" &amp; $F$112),FirstRowInput+Integration*COUNT($B$114:B435)+Integration-1))*$F$110,"")</f>
        <v/>
      </c>
      <c r="G436" s="77" t="str">
        <f ca="1">IFERROR(AVERAGE(INDEX(INDIRECT("input!" &amp; $G$112 &amp; ":" &amp; $G$112),FirstRowInput+Integration*COUNT($B$114:B435)):INDEX(INDIRECT("input!" &amp; $G$112 &amp; ":" &amp; $G$112),FirstRowInput+Integration*COUNT($B$114:B435)+Integration-1))*$G$110,"")</f>
        <v/>
      </c>
      <c r="H436" s="77" t="str">
        <f ca="1">IFERROR(AVERAGE(INDEX(INDIRECT("input!" &amp; $H$112 &amp; ":" &amp; $H$112),FirstRowInput+Integration*COUNT($B$114:B435)):INDEX(INDIRECT("input!" &amp; $H$112 &amp; ":" &amp; $H$112),FirstRowInput+Integration*COUNT($B$114:B435)+Integration-1))*$H$110,"")</f>
        <v/>
      </c>
      <c r="I436" s="42">
        <v>324</v>
      </c>
      <c r="J436"/>
      <c r="K436"/>
      <c r="L436"/>
      <c r="M436"/>
      <c r="N436"/>
      <c r="O436"/>
      <c r="P436"/>
      <c r="Q436"/>
      <c r="R436"/>
      <c r="S436"/>
      <c r="T436"/>
      <c r="U436"/>
      <c r="V436"/>
      <c r="W436"/>
      <c r="X436"/>
      <c r="Y436"/>
      <c r="Z436"/>
      <c r="AA436"/>
      <c r="AB436"/>
      <c r="AC436"/>
      <c r="AD436"/>
      <c r="AE436"/>
      <c r="AF436"/>
      <c r="AG436"/>
      <c r="AH436"/>
      <c r="AI436"/>
      <c r="AJ436"/>
      <c r="AK436"/>
      <c r="AL436"/>
      <c r="AM436"/>
      <c r="AN436"/>
    </row>
    <row r="437" spans="1:40" x14ac:dyDescent="0.15">
      <c r="A437" s="75">
        <f ca="1">IFERROR(IF(AND(MAX($A$114:A436)&gt;A436+1, MAX($A$114:A436)&gt;20),0,IF(AND(D437="",G437=""),0,IF(OR(D437&gt;LimitSignB10, G437&gt;LimitSignB11),A436+1,0))),"")</f>
        <v>0</v>
      </c>
      <c r="B437" s="76" t="str">
        <f ca="1">IFERROR(MyTime(INDEX(INDIRECT("input!"&amp;$B$112&amp;":"&amp;$B$112),FirstRowInput+Integration*COUNT($B$114:B436)) )* $B$110,"")</f>
        <v/>
      </c>
      <c r="C437" s="77" t="str">
        <f ca="1">IFERROR(AVERAGE(INDEX(INDIRECT("input!" &amp; $C$112 &amp; ":" &amp; $C$112),FirstRowInput+Integration*COUNT($B$114:B436)):INDEX(INDIRECT("input!" &amp; $C$112 &amp; ":" &amp; $C$112),FirstRowInput+Integration*COUNT($B$114:B436)+Integration-1))*$C$110,"")</f>
        <v/>
      </c>
      <c r="D437" s="77" t="str">
        <f ca="1">IFERROR(AVERAGE(INDEX(INDIRECT("input!" &amp; $D$112 &amp; ":" &amp; $D$112),FirstRowInput+Integration*COUNT($B$114:B436)):INDEX(INDIRECT("input!" &amp; $D$112 &amp; ":" &amp; $D$112),FirstRowInput+Integration*COUNT($B$114:B436)+Integration-1))*$D$110,"")</f>
        <v/>
      </c>
      <c r="E437" s="77" t="str">
        <f ca="1">IFERROR(AVERAGE(INDEX(INDIRECT("input!" &amp; $E$112 &amp; ":" &amp; $E$112),FirstRowInput+Integration*COUNT($B$114:B436)):INDEX(INDIRECT("input!" &amp; $E$112 &amp; ":" &amp; $E$112),FirstRowInput+Integration*COUNT($B$114:B436)+Integration-1))*$E$110,"")</f>
        <v/>
      </c>
      <c r="F437" s="77" t="str">
        <f ca="1">IFERROR(AVERAGE(INDEX(INDIRECT("input!" &amp; $F$112 &amp; ":" &amp; $F$112),FirstRowInput+Integration*COUNT($B$114:B436)):INDEX(INDIRECT("input!" &amp; $F$112 &amp; ":" &amp; $F$112),FirstRowInput+Integration*COUNT($B$114:B436)+Integration-1))*$F$110,"")</f>
        <v/>
      </c>
      <c r="G437" s="77" t="str">
        <f ca="1">IFERROR(AVERAGE(INDEX(INDIRECT("input!" &amp; $G$112 &amp; ":" &amp; $G$112),FirstRowInput+Integration*COUNT($B$114:B436)):INDEX(INDIRECT("input!" &amp; $G$112 &amp; ":" &amp; $G$112),FirstRowInput+Integration*COUNT($B$114:B436)+Integration-1))*$G$110,"")</f>
        <v/>
      </c>
      <c r="H437" s="77" t="str">
        <f ca="1">IFERROR(AVERAGE(INDEX(INDIRECT("input!" &amp; $H$112 &amp; ":" &amp; $H$112),FirstRowInput+Integration*COUNT($B$114:B436)):INDEX(INDIRECT("input!" &amp; $H$112 &amp; ":" &amp; $H$112),FirstRowInput+Integration*COUNT($B$114:B436)+Integration-1))*$H$110,"")</f>
        <v/>
      </c>
      <c r="I437" s="42">
        <v>325</v>
      </c>
      <c r="J437"/>
      <c r="K437"/>
      <c r="L437"/>
      <c r="M437"/>
      <c r="N437"/>
      <c r="O437"/>
      <c r="P437"/>
      <c r="Q437"/>
      <c r="R437"/>
      <c r="S437"/>
      <c r="T437"/>
      <c r="U437"/>
      <c r="V437"/>
      <c r="W437"/>
      <c r="X437"/>
      <c r="Y437"/>
      <c r="Z437"/>
      <c r="AA437"/>
      <c r="AB437"/>
      <c r="AC437"/>
      <c r="AD437"/>
      <c r="AE437"/>
      <c r="AF437"/>
      <c r="AG437"/>
      <c r="AH437"/>
      <c r="AI437"/>
      <c r="AJ437"/>
      <c r="AK437"/>
      <c r="AL437"/>
      <c r="AM437"/>
      <c r="AN437"/>
    </row>
    <row r="438" spans="1:40" x14ac:dyDescent="0.15">
      <c r="A438" s="75">
        <f ca="1">IFERROR(IF(AND(MAX($A$114:A437)&gt;A437+1, MAX($A$114:A437)&gt;20),0,IF(AND(D438="",G438=""),0,IF(OR(D438&gt;LimitSignB10, G438&gt;LimitSignB11),A437+1,0))),"")</f>
        <v>0</v>
      </c>
      <c r="B438" s="76" t="str">
        <f ca="1">IFERROR(MyTime(INDEX(INDIRECT("input!"&amp;$B$112&amp;":"&amp;$B$112),FirstRowInput+Integration*COUNT($B$114:B437)) )* $B$110,"")</f>
        <v/>
      </c>
      <c r="C438" s="77" t="str">
        <f ca="1">IFERROR(AVERAGE(INDEX(INDIRECT("input!" &amp; $C$112 &amp; ":" &amp; $C$112),FirstRowInput+Integration*COUNT($B$114:B437)):INDEX(INDIRECT("input!" &amp; $C$112 &amp; ":" &amp; $C$112),FirstRowInput+Integration*COUNT($B$114:B437)+Integration-1))*$C$110,"")</f>
        <v/>
      </c>
      <c r="D438" s="77" t="str">
        <f ca="1">IFERROR(AVERAGE(INDEX(INDIRECT("input!" &amp; $D$112 &amp; ":" &amp; $D$112),FirstRowInput+Integration*COUNT($B$114:B437)):INDEX(INDIRECT("input!" &amp; $D$112 &amp; ":" &amp; $D$112),FirstRowInput+Integration*COUNT($B$114:B437)+Integration-1))*$D$110,"")</f>
        <v/>
      </c>
      <c r="E438" s="77" t="str">
        <f ca="1">IFERROR(AVERAGE(INDEX(INDIRECT("input!" &amp; $E$112 &amp; ":" &amp; $E$112),FirstRowInput+Integration*COUNT($B$114:B437)):INDEX(INDIRECT("input!" &amp; $E$112 &amp; ":" &amp; $E$112),FirstRowInput+Integration*COUNT($B$114:B437)+Integration-1))*$E$110,"")</f>
        <v/>
      </c>
      <c r="F438" s="77" t="str">
        <f ca="1">IFERROR(AVERAGE(INDEX(INDIRECT("input!" &amp; $F$112 &amp; ":" &amp; $F$112),FirstRowInput+Integration*COUNT($B$114:B437)):INDEX(INDIRECT("input!" &amp; $F$112 &amp; ":" &amp; $F$112),FirstRowInput+Integration*COUNT($B$114:B437)+Integration-1))*$F$110,"")</f>
        <v/>
      </c>
      <c r="G438" s="77" t="str">
        <f ca="1">IFERROR(AVERAGE(INDEX(INDIRECT("input!" &amp; $G$112 &amp; ":" &amp; $G$112),FirstRowInput+Integration*COUNT($B$114:B437)):INDEX(INDIRECT("input!" &amp; $G$112 &amp; ":" &amp; $G$112),FirstRowInput+Integration*COUNT($B$114:B437)+Integration-1))*$G$110,"")</f>
        <v/>
      </c>
      <c r="H438" s="77" t="str">
        <f ca="1">IFERROR(AVERAGE(INDEX(INDIRECT("input!" &amp; $H$112 &amp; ":" &amp; $H$112),FirstRowInput+Integration*COUNT($B$114:B437)):INDEX(INDIRECT("input!" &amp; $H$112 &amp; ":" &amp; $H$112),FirstRowInput+Integration*COUNT($B$114:B437)+Integration-1))*$H$110,"")</f>
        <v/>
      </c>
      <c r="I438" s="42">
        <v>326</v>
      </c>
      <c r="J438"/>
      <c r="K438"/>
      <c r="L438"/>
      <c r="M438"/>
      <c r="N438"/>
      <c r="O438"/>
      <c r="P438"/>
      <c r="Q438"/>
      <c r="R438"/>
      <c r="S438"/>
      <c r="T438"/>
      <c r="U438"/>
      <c r="V438"/>
      <c r="W438"/>
      <c r="X438"/>
      <c r="Y438"/>
      <c r="Z438"/>
      <c r="AA438"/>
      <c r="AB438"/>
      <c r="AC438"/>
      <c r="AD438"/>
      <c r="AE438"/>
      <c r="AF438"/>
      <c r="AG438"/>
      <c r="AH438"/>
      <c r="AI438"/>
      <c r="AJ438"/>
      <c r="AK438"/>
      <c r="AL438"/>
      <c r="AM438"/>
      <c r="AN438"/>
    </row>
    <row r="439" spans="1:40" x14ac:dyDescent="0.15">
      <c r="A439" s="75">
        <f ca="1">IFERROR(IF(AND(MAX($A$114:A438)&gt;A438+1, MAX($A$114:A438)&gt;20),0,IF(AND(D439="",G439=""),0,IF(OR(D439&gt;LimitSignB10, G439&gt;LimitSignB11),A438+1,0))),"")</f>
        <v>0</v>
      </c>
      <c r="B439" s="76" t="str">
        <f ca="1">IFERROR(MyTime(INDEX(INDIRECT("input!"&amp;$B$112&amp;":"&amp;$B$112),FirstRowInput+Integration*COUNT($B$114:B438)) )* $B$110,"")</f>
        <v/>
      </c>
      <c r="C439" s="77" t="str">
        <f ca="1">IFERROR(AVERAGE(INDEX(INDIRECT("input!" &amp; $C$112 &amp; ":" &amp; $C$112),FirstRowInput+Integration*COUNT($B$114:B438)):INDEX(INDIRECT("input!" &amp; $C$112 &amp; ":" &amp; $C$112),FirstRowInput+Integration*COUNT($B$114:B438)+Integration-1))*$C$110,"")</f>
        <v/>
      </c>
      <c r="D439" s="77" t="str">
        <f ca="1">IFERROR(AVERAGE(INDEX(INDIRECT("input!" &amp; $D$112 &amp; ":" &amp; $D$112),FirstRowInput+Integration*COUNT($B$114:B438)):INDEX(INDIRECT("input!" &amp; $D$112 &amp; ":" &amp; $D$112),FirstRowInput+Integration*COUNT($B$114:B438)+Integration-1))*$D$110,"")</f>
        <v/>
      </c>
      <c r="E439" s="77" t="str">
        <f ca="1">IFERROR(AVERAGE(INDEX(INDIRECT("input!" &amp; $E$112 &amp; ":" &amp; $E$112),FirstRowInput+Integration*COUNT($B$114:B438)):INDEX(INDIRECT("input!" &amp; $E$112 &amp; ":" &amp; $E$112),FirstRowInput+Integration*COUNT($B$114:B438)+Integration-1))*$E$110,"")</f>
        <v/>
      </c>
      <c r="F439" s="77" t="str">
        <f ca="1">IFERROR(AVERAGE(INDEX(INDIRECT("input!" &amp; $F$112 &amp; ":" &amp; $F$112),FirstRowInput+Integration*COUNT($B$114:B438)):INDEX(INDIRECT("input!" &amp; $F$112 &amp; ":" &amp; $F$112),FirstRowInput+Integration*COUNT($B$114:B438)+Integration-1))*$F$110,"")</f>
        <v/>
      </c>
      <c r="G439" s="77" t="str">
        <f ca="1">IFERROR(AVERAGE(INDEX(INDIRECT("input!" &amp; $G$112 &amp; ":" &amp; $G$112),FirstRowInput+Integration*COUNT($B$114:B438)):INDEX(INDIRECT("input!" &amp; $G$112 &amp; ":" &amp; $G$112),FirstRowInput+Integration*COUNT($B$114:B438)+Integration-1))*$G$110,"")</f>
        <v/>
      </c>
      <c r="H439" s="77" t="str">
        <f ca="1">IFERROR(AVERAGE(INDEX(INDIRECT("input!" &amp; $H$112 &amp; ":" &amp; $H$112),FirstRowInput+Integration*COUNT($B$114:B438)):INDEX(INDIRECT("input!" &amp; $H$112 &amp; ":" &amp; $H$112),FirstRowInput+Integration*COUNT($B$114:B438)+Integration-1))*$H$110,"")</f>
        <v/>
      </c>
      <c r="I439" s="42">
        <v>327</v>
      </c>
      <c r="J439"/>
      <c r="K439"/>
      <c r="L439"/>
      <c r="M439"/>
      <c r="N439"/>
      <c r="O439"/>
      <c r="P439"/>
      <c r="Q439"/>
      <c r="R439"/>
      <c r="S439"/>
      <c r="T439"/>
      <c r="U439"/>
      <c r="V439"/>
      <c r="W439"/>
      <c r="X439"/>
      <c r="Y439"/>
      <c r="Z439"/>
      <c r="AA439"/>
      <c r="AB439"/>
      <c r="AC439"/>
      <c r="AD439"/>
      <c r="AE439"/>
      <c r="AF439"/>
      <c r="AG439"/>
      <c r="AH439"/>
      <c r="AI439"/>
      <c r="AJ439"/>
      <c r="AK439"/>
      <c r="AL439"/>
      <c r="AM439"/>
      <c r="AN439"/>
    </row>
    <row r="440" spans="1:40" x14ac:dyDescent="0.15">
      <c r="A440" s="75">
        <f ca="1">IFERROR(IF(AND(MAX($A$114:A439)&gt;A439+1, MAX($A$114:A439)&gt;20),0,IF(AND(D440="",G440=""),0,IF(OR(D440&gt;LimitSignB10, G440&gt;LimitSignB11),A439+1,0))),"")</f>
        <v>0</v>
      </c>
      <c r="B440" s="76" t="str">
        <f ca="1">IFERROR(MyTime(INDEX(INDIRECT("input!"&amp;$B$112&amp;":"&amp;$B$112),FirstRowInput+Integration*COUNT($B$114:B439)) )* $B$110,"")</f>
        <v/>
      </c>
      <c r="C440" s="77" t="str">
        <f ca="1">IFERROR(AVERAGE(INDEX(INDIRECT("input!" &amp; $C$112 &amp; ":" &amp; $C$112),FirstRowInput+Integration*COUNT($B$114:B439)):INDEX(INDIRECT("input!" &amp; $C$112 &amp; ":" &amp; $C$112),FirstRowInput+Integration*COUNT($B$114:B439)+Integration-1))*$C$110,"")</f>
        <v/>
      </c>
      <c r="D440" s="77" t="str">
        <f ca="1">IFERROR(AVERAGE(INDEX(INDIRECT("input!" &amp; $D$112 &amp; ":" &amp; $D$112),FirstRowInput+Integration*COUNT($B$114:B439)):INDEX(INDIRECT("input!" &amp; $D$112 &amp; ":" &amp; $D$112),FirstRowInput+Integration*COUNT($B$114:B439)+Integration-1))*$D$110,"")</f>
        <v/>
      </c>
      <c r="E440" s="77" t="str">
        <f ca="1">IFERROR(AVERAGE(INDEX(INDIRECT("input!" &amp; $E$112 &amp; ":" &amp; $E$112),FirstRowInput+Integration*COUNT($B$114:B439)):INDEX(INDIRECT("input!" &amp; $E$112 &amp; ":" &amp; $E$112),FirstRowInput+Integration*COUNT($B$114:B439)+Integration-1))*$E$110,"")</f>
        <v/>
      </c>
      <c r="F440" s="77" t="str">
        <f ca="1">IFERROR(AVERAGE(INDEX(INDIRECT("input!" &amp; $F$112 &amp; ":" &amp; $F$112),FirstRowInput+Integration*COUNT($B$114:B439)):INDEX(INDIRECT("input!" &amp; $F$112 &amp; ":" &amp; $F$112),FirstRowInput+Integration*COUNT($B$114:B439)+Integration-1))*$F$110,"")</f>
        <v/>
      </c>
      <c r="G440" s="77" t="str">
        <f ca="1">IFERROR(AVERAGE(INDEX(INDIRECT("input!" &amp; $G$112 &amp; ":" &amp; $G$112),FirstRowInput+Integration*COUNT($B$114:B439)):INDEX(INDIRECT("input!" &amp; $G$112 &amp; ":" &amp; $G$112),FirstRowInput+Integration*COUNT($B$114:B439)+Integration-1))*$G$110,"")</f>
        <v/>
      </c>
      <c r="H440" s="77" t="str">
        <f ca="1">IFERROR(AVERAGE(INDEX(INDIRECT("input!" &amp; $H$112 &amp; ":" &amp; $H$112),FirstRowInput+Integration*COUNT($B$114:B439)):INDEX(INDIRECT("input!" &amp; $H$112 &amp; ":" &amp; $H$112),FirstRowInput+Integration*COUNT($B$114:B439)+Integration-1))*$H$110,"")</f>
        <v/>
      </c>
      <c r="I440" s="42">
        <v>328</v>
      </c>
      <c r="J440"/>
      <c r="K440"/>
      <c r="L440"/>
      <c r="M440"/>
      <c r="N440"/>
      <c r="O440"/>
      <c r="P440"/>
      <c r="Q440"/>
      <c r="R440"/>
      <c r="S440"/>
      <c r="T440"/>
      <c r="U440"/>
      <c r="V440"/>
      <c r="W440"/>
      <c r="X440"/>
      <c r="Y440"/>
      <c r="Z440"/>
      <c r="AA440"/>
      <c r="AB440"/>
      <c r="AC440"/>
      <c r="AD440"/>
      <c r="AE440"/>
      <c r="AF440"/>
      <c r="AG440"/>
      <c r="AH440"/>
      <c r="AI440"/>
      <c r="AJ440"/>
      <c r="AK440"/>
      <c r="AL440"/>
      <c r="AM440"/>
      <c r="AN440"/>
    </row>
    <row r="441" spans="1:40" x14ac:dyDescent="0.15">
      <c r="A441" s="75">
        <f ca="1">IFERROR(IF(AND(MAX($A$114:A440)&gt;A440+1, MAX($A$114:A440)&gt;20),0,IF(AND(D441="",G441=""),0,IF(OR(D441&gt;LimitSignB10, G441&gt;LimitSignB11),A440+1,0))),"")</f>
        <v>0</v>
      </c>
      <c r="B441" s="76" t="str">
        <f ca="1">IFERROR(MyTime(INDEX(INDIRECT("input!"&amp;$B$112&amp;":"&amp;$B$112),FirstRowInput+Integration*COUNT($B$114:B440)) )* $B$110,"")</f>
        <v/>
      </c>
      <c r="C441" s="77" t="str">
        <f ca="1">IFERROR(AVERAGE(INDEX(INDIRECT("input!" &amp; $C$112 &amp; ":" &amp; $C$112),FirstRowInput+Integration*COUNT($B$114:B440)):INDEX(INDIRECT("input!" &amp; $C$112 &amp; ":" &amp; $C$112),FirstRowInput+Integration*COUNT($B$114:B440)+Integration-1))*$C$110,"")</f>
        <v/>
      </c>
      <c r="D441" s="77" t="str">
        <f ca="1">IFERROR(AVERAGE(INDEX(INDIRECT("input!" &amp; $D$112 &amp; ":" &amp; $D$112),FirstRowInput+Integration*COUNT($B$114:B440)):INDEX(INDIRECT("input!" &amp; $D$112 &amp; ":" &amp; $D$112),FirstRowInput+Integration*COUNT($B$114:B440)+Integration-1))*$D$110,"")</f>
        <v/>
      </c>
      <c r="E441" s="77" t="str">
        <f ca="1">IFERROR(AVERAGE(INDEX(INDIRECT("input!" &amp; $E$112 &amp; ":" &amp; $E$112),FirstRowInput+Integration*COUNT($B$114:B440)):INDEX(INDIRECT("input!" &amp; $E$112 &amp; ":" &amp; $E$112),FirstRowInput+Integration*COUNT($B$114:B440)+Integration-1))*$E$110,"")</f>
        <v/>
      </c>
      <c r="F441" s="77" t="str">
        <f ca="1">IFERROR(AVERAGE(INDEX(INDIRECT("input!" &amp; $F$112 &amp; ":" &amp; $F$112),FirstRowInput+Integration*COUNT($B$114:B440)):INDEX(INDIRECT("input!" &amp; $F$112 &amp; ":" &amp; $F$112),FirstRowInput+Integration*COUNT($B$114:B440)+Integration-1))*$F$110,"")</f>
        <v/>
      </c>
      <c r="G441" s="77" t="str">
        <f ca="1">IFERROR(AVERAGE(INDEX(INDIRECT("input!" &amp; $G$112 &amp; ":" &amp; $G$112),FirstRowInput+Integration*COUNT($B$114:B440)):INDEX(INDIRECT("input!" &amp; $G$112 &amp; ":" &amp; $G$112),FirstRowInput+Integration*COUNT($B$114:B440)+Integration-1))*$G$110,"")</f>
        <v/>
      </c>
      <c r="H441" s="77" t="str">
        <f ca="1">IFERROR(AVERAGE(INDEX(INDIRECT("input!" &amp; $H$112 &amp; ":" &amp; $H$112),FirstRowInput+Integration*COUNT($B$114:B440)):INDEX(INDIRECT("input!" &amp; $H$112 &amp; ":" &amp; $H$112),FirstRowInput+Integration*COUNT($B$114:B440)+Integration-1))*$H$110,"")</f>
        <v/>
      </c>
      <c r="I441" s="42">
        <v>329</v>
      </c>
      <c r="J441"/>
      <c r="K441"/>
      <c r="L441"/>
      <c r="M441"/>
      <c r="N441"/>
      <c r="O441"/>
      <c r="P441"/>
      <c r="Q441"/>
      <c r="R441"/>
      <c r="S441"/>
      <c r="T441"/>
      <c r="U441"/>
      <c r="V441"/>
      <c r="W441"/>
      <c r="X441"/>
      <c r="Y441"/>
      <c r="Z441"/>
      <c r="AA441"/>
      <c r="AB441"/>
      <c r="AC441"/>
      <c r="AD441"/>
      <c r="AE441"/>
      <c r="AF441"/>
      <c r="AG441"/>
      <c r="AH441"/>
      <c r="AI441"/>
      <c r="AJ441"/>
      <c r="AK441"/>
      <c r="AL441"/>
      <c r="AM441"/>
      <c r="AN441"/>
    </row>
    <row r="442" spans="1:40" x14ac:dyDescent="0.15">
      <c r="A442" s="75">
        <f ca="1">IFERROR(IF(AND(MAX($A$114:A441)&gt;A441+1, MAX($A$114:A441)&gt;20),0,IF(AND(D442="",G442=""),0,IF(OR(D442&gt;LimitSignB10, G442&gt;LimitSignB11),A441+1,0))),"")</f>
        <v>0</v>
      </c>
      <c r="B442" s="76" t="str">
        <f ca="1">IFERROR(MyTime(INDEX(INDIRECT("input!"&amp;$B$112&amp;":"&amp;$B$112),FirstRowInput+Integration*COUNT($B$114:B441)) )* $B$110,"")</f>
        <v/>
      </c>
      <c r="C442" s="77" t="str">
        <f ca="1">IFERROR(AVERAGE(INDEX(INDIRECT("input!" &amp; $C$112 &amp; ":" &amp; $C$112),FirstRowInput+Integration*COUNT($B$114:B441)):INDEX(INDIRECT("input!" &amp; $C$112 &amp; ":" &amp; $C$112),FirstRowInput+Integration*COUNT($B$114:B441)+Integration-1))*$C$110,"")</f>
        <v/>
      </c>
      <c r="D442" s="77" t="str">
        <f ca="1">IFERROR(AVERAGE(INDEX(INDIRECT("input!" &amp; $D$112 &amp; ":" &amp; $D$112),FirstRowInput+Integration*COUNT($B$114:B441)):INDEX(INDIRECT("input!" &amp; $D$112 &amp; ":" &amp; $D$112),FirstRowInput+Integration*COUNT($B$114:B441)+Integration-1))*$D$110,"")</f>
        <v/>
      </c>
      <c r="E442" s="77" t="str">
        <f ca="1">IFERROR(AVERAGE(INDEX(INDIRECT("input!" &amp; $E$112 &amp; ":" &amp; $E$112),FirstRowInput+Integration*COUNT($B$114:B441)):INDEX(INDIRECT("input!" &amp; $E$112 &amp; ":" &amp; $E$112),FirstRowInput+Integration*COUNT($B$114:B441)+Integration-1))*$E$110,"")</f>
        <v/>
      </c>
      <c r="F442" s="77" t="str">
        <f ca="1">IFERROR(AVERAGE(INDEX(INDIRECT("input!" &amp; $F$112 &amp; ":" &amp; $F$112),FirstRowInput+Integration*COUNT($B$114:B441)):INDEX(INDIRECT("input!" &amp; $F$112 &amp; ":" &amp; $F$112),FirstRowInput+Integration*COUNT($B$114:B441)+Integration-1))*$F$110,"")</f>
        <v/>
      </c>
      <c r="G442" s="77" t="str">
        <f ca="1">IFERROR(AVERAGE(INDEX(INDIRECT("input!" &amp; $G$112 &amp; ":" &amp; $G$112),FirstRowInput+Integration*COUNT($B$114:B441)):INDEX(INDIRECT("input!" &amp; $G$112 &amp; ":" &amp; $G$112),FirstRowInput+Integration*COUNT($B$114:B441)+Integration-1))*$G$110,"")</f>
        <v/>
      </c>
      <c r="H442" s="77" t="str">
        <f ca="1">IFERROR(AVERAGE(INDEX(INDIRECT("input!" &amp; $H$112 &amp; ":" &amp; $H$112),FirstRowInput+Integration*COUNT($B$114:B441)):INDEX(INDIRECT("input!" &amp; $H$112 &amp; ":" &amp; $H$112),FirstRowInput+Integration*COUNT($B$114:B441)+Integration-1))*$H$110,"")</f>
        <v/>
      </c>
      <c r="I442" s="42">
        <v>330</v>
      </c>
      <c r="J442"/>
      <c r="K442"/>
      <c r="L442"/>
      <c r="M442"/>
      <c r="N442"/>
      <c r="O442"/>
      <c r="P442"/>
      <c r="Q442"/>
      <c r="R442"/>
      <c r="S442"/>
      <c r="T442"/>
      <c r="U442"/>
      <c r="V442"/>
      <c r="W442"/>
      <c r="X442"/>
      <c r="Y442"/>
      <c r="Z442"/>
      <c r="AA442"/>
      <c r="AB442"/>
      <c r="AC442"/>
      <c r="AD442"/>
      <c r="AE442"/>
      <c r="AF442"/>
      <c r="AG442"/>
      <c r="AH442"/>
      <c r="AI442"/>
      <c r="AJ442"/>
      <c r="AK442"/>
      <c r="AL442"/>
      <c r="AM442"/>
      <c r="AN442"/>
    </row>
    <row r="443" spans="1:40" x14ac:dyDescent="0.15">
      <c r="A443" s="75">
        <f ca="1">IFERROR(IF(AND(MAX($A$114:A442)&gt;A442+1, MAX($A$114:A442)&gt;20),0,IF(AND(D443="",G443=""),0,IF(OR(D443&gt;LimitSignB10, G443&gt;LimitSignB11),A442+1,0))),"")</f>
        <v>0</v>
      </c>
      <c r="B443" s="76" t="str">
        <f ca="1">IFERROR(MyTime(INDEX(INDIRECT("input!"&amp;$B$112&amp;":"&amp;$B$112),FirstRowInput+Integration*COUNT($B$114:B442)) )* $B$110,"")</f>
        <v/>
      </c>
      <c r="C443" s="77" t="str">
        <f ca="1">IFERROR(AVERAGE(INDEX(INDIRECT("input!" &amp; $C$112 &amp; ":" &amp; $C$112),FirstRowInput+Integration*COUNT($B$114:B442)):INDEX(INDIRECT("input!" &amp; $C$112 &amp; ":" &amp; $C$112),FirstRowInput+Integration*COUNT($B$114:B442)+Integration-1))*$C$110,"")</f>
        <v/>
      </c>
      <c r="D443" s="77" t="str">
        <f ca="1">IFERROR(AVERAGE(INDEX(INDIRECT("input!" &amp; $D$112 &amp; ":" &amp; $D$112),FirstRowInput+Integration*COUNT($B$114:B442)):INDEX(INDIRECT("input!" &amp; $D$112 &amp; ":" &amp; $D$112),FirstRowInput+Integration*COUNT($B$114:B442)+Integration-1))*$D$110,"")</f>
        <v/>
      </c>
      <c r="E443" s="77" t="str">
        <f ca="1">IFERROR(AVERAGE(INDEX(INDIRECT("input!" &amp; $E$112 &amp; ":" &amp; $E$112),FirstRowInput+Integration*COUNT($B$114:B442)):INDEX(INDIRECT("input!" &amp; $E$112 &amp; ":" &amp; $E$112),FirstRowInput+Integration*COUNT($B$114:B442)+Integration-1))*$E$110,"")</f>
        <v/>
      </c>
      <c r="F443" s="77" t="str">
        <f ca="1">IFERROR(AVERAGE(INDEX(INDIRECT("input!" &amp; $F$112 &amp; ":" &amp; $F$112),FirstRowInput+Integration*COUNT($B$114:B442)):INDEX(INDIRECT("input!" &amp; $F$112 &amp; ":" &amp; $F$112),FirstRowInput+Integration*COUNT($B$114:B442)+Integration-1))*$F$110,"")</f>
        <v/>
      </c>
      <c r="G443" s="77" t="str">
        <f ca="1">IFERROR(AVERAGE(INDEX(INDIRECT("input!" &amp; $G$112 &amp; ":" &amp; $G$112),FirstRowInput+Integration*COUNT($B$114:B442)):INDEX(INDIRECT("input!" &amp; $G$112 &amp; ":" &amp; $G$112),FirstRowInput+Integration*COUNT($B$114:B442)+Integration-1))*$G$110,"")</f>
        <v/>
      </c>
      <c r="H443" s="77" t="str">
        <f ca="1">IFERROR(AVERAGE(INDEX(INDIRECT("input!" &amp; $H$112 &amp; ":" &amp; $H$112),FirstRowInput+Integration*COUNT($B$114:B442)):INDEX(INDIRECT("input!" &amp; $H$112 &amp; ":" &amp; $H$112),FirstRowInput+Integration*COUNT($B$114:B442)+Integration-1))*$H$110,"")</f>
        <v/>
      </c>
      <c r="I443" s="42">
        <v>331</v>
      </c>
      <c r="J443"/>
      <c r="K443"/>
      <c r="L443"/>
      <c r="M443"/>
      <c r="N443"/>
      <c r="O443"/>
      <c r="P443"/>
      <c r="Q443"/>
      <c r="R443"/>
      <c r="S443"/>
      <c r="T443"/>
      <c r="U443"/>
      <c r="V443"/>
      <c r="W443"/>
      <c r="X443"/>
      <c r="Y443"/>
      <c r="Z443"/>
      <c r="AA443"/>
      <c r="AB443"/>
      <c r="AC443"/>
      <c r="AD443"/>
      <c r="AE443"/>
      <c r="AF443"/>
      <c r="AG443"/>
      <c r="AH443"/>
      <c r="AI443"/>
      <c r="AJ443"/>
      <c r="AK443"/>
      <c r="AL443"/>
      <c r="AM443"/>
      <c r="AN443"/>
    </row>
    <row r="444" spans="1:40" x14ac:dyDescent="0.15">
      <c r="A444" s="75">
        <f ca="1">IFERROR(IF(AND(MAX($A$114:A443)&gt;A443+1, MAX($A$114:A443)&gt;20),0,IF(AND(D444="",G444=""),0,IF(OR(D444&gt;LimitSignB10, G444&gt;LimitSignB11),A443+1,0))),"")</f>
        <v>0</v>
      </c>
      <c r="B444" s="76" t="str">
        <f ca="1">IFERROR(MyTime(INDEX(INDIRECT("input!"&amp;$B$112&amp;":"&amp;$B$112),FirstRowInput+Integration*COUNT($B$114:B443)) )* $B$110,"")</f>
        <v/>
      </c>
      <c r="C444" s="77" t="str">
        <f ca="1">IFERROR(AVERAGE(INDEX(INDIRECT("input!" &amp; $C$112 &amp; ":" &amp; $C$112),FirstRowInput+Integration*COUNT($B$114:B443)):INDEX(INDIRECT("input!" &amp; $C$112 &amp; ":" &amp; $C$112),FirstRowInput+Integration*COUNT($B$114:B443)+Integration-1))*$C$110,"")</f>
        <v/>
      </c>
      <c r="D444" s="77" t="str">
        <f ca="1">IFERROR(AVERAGE(INDEX(INDIRECT("input!" &amp; $D$112 &amp; ":" &amp; $D$112),FirstRowInput+Integration*COUNT($B$114:B443)):INDEX(INDIRECT("input!" &amp; $D$112 &amp; ":" &amp; $D$112),FirstRowInput+Integration*COUNT($B$114:B443)+Integration-1))*$D$110,"")</f>
        <v/>
      </c>
      <c r="E444" s="77" t="str">
        <f ca="1">IFERROR(AVERAGE(INDEX(INDIRECT("input!" &amp; $E$112 &amp; ":" &amp; $E$112),FirstRowInput+Integration*COUNT($B$114:B443)):INDEX(INDIRECT("input!" &amp; $E$112 &amp; ":" &amp; $E$112),FirstRowInput+Integration*COUNT($B$114:B443)+Integration-1))*$E$110,"")</f>
        <v/>
      </c>
      <c r="F444" s="77" t="str">
        <f ca="1">IFERROR(AVERAGE(INDEX(INDIRECT("input!" &amp; $F$112 &amp; ":" &amp; $F$112),FirstRowInput+Integration*COUNT($B$114:B443)):INDEX(INDIRECT("input!" &amp; $F$112 &amp; ":" &amp; $F$112),FirstRowInput+Integration*COUNT($B$114:B443)+Integration-1))*$F$110,"")</f>
        <v/>
      </c>
      <c r="G444" s="77" t="str">
        <f ca="1">IFERROR(AVERAGE(INDEX(INDIRECT("input!" &amp; $G$112 &amp; ":" &amp; $G$112),FirstRowInput+Integration*COUNT($B$114:B443)):INDEX(INDIRECT("input!" &amp; $G$112 &amp; ":" &amp; $G$112),FirstRowInput+Integration*COUNT($B$114:B443)+Integration-1))*$G$110,"")</f>
        <v/>
      </c>
      <c r="H444" s="77" t="str">
        <f ca="1">IFERROR(AVERAGE(INDEX(INDIRECT("input!" &amp; $H$112 &amp; ":" &amp; $H$112),FirstRowInput+Integration*COUNT($B$114:B443)):INDEX(INDIRECT("input!" &amp; $H$112 &amp; ":" &amp; $H$112),FirstRowInput+Integration*COUNT($B$114:B443)+Integration-1))*$H$110,"")</f>
        <v/>
      </c>
      <c r="I444" s="42">
        <v>332</v>
      </c>
      <c r="J444"/>
      <c r="K444"/>
      <c r="L444"/>
      <c r="M444"/>
      <c r="N444"/>
      <c r="O444"/>
      <c r="P444"/>
      <c r="Q444"/>
      <c r="R444"/>
      <c r="S444"/>
      <c r="T444"/>
      <c r="U444"/>
      <c r="V444"/>
      <c r="W444"/>
      <c r="X444"/>
      <c r="Y444"/>
      <c r="Z444"/>
      <c r="AA444"/>
      <c r="AB444"/>
      <c r="AC444"/>
      <c r="AD444"/>
      <c r="AE444"/>
      <c r="AF444"/>
      <c r="AG444"/>
      <c r="AH444"/>
      <c r="AI444"/>
      <c r="AJ444"/>
      <c r="AK444"/>
      <c r="AL444"/>
      <c r="AM444"/>
      <c r="AN444"/>
    </row>
    <row r="445" spans="1:40" x14ac:dyDescent="0.15">
      <c r="A445" s="75">
        <f ca="1">IFERROR(IF(AND(MAX($A$114:A444)&gt;A444+1, MAX($A$114:A444)&gt;20),0,IF(AND(D445="",G445=""),0,IF(OR(D445&gt;LimitSignB10, G445&gt;LimitSignB11),A444+1,0))),"")</f>
        <v>0</v>
      </c>
      <c r="B445" s="76" t="str">
        <f ca="1">IFERROR(MyTime(INDEX(INDIRECT("input!"&amp;$B$112&amp;":"&amp;$B$112),FirstRowInput+Integration*COUNT($B$114:B444)) )* $B$110,"")</f>
        <v/>
      </c>
      <c r="C445" s="77" t="str">
        <f ca="1">IFERROR(AVERAGE(INDEX(INDIRECT("input!" &amp; $C$112 &amp; ":" &amp; $C$112),FirstRowInput+Integration*COUNT($B$114:B444)):INDEX(INDIRECT("input!" &amp; $C$112 &amp; ":" &amp; $C$112),FirstRowInput+Integration*COUNT($B$114:B444)+Integration-1))*$C$110,"")</f>
        <v/>
      </c>
      <c r="D445" s="77" t="str">
        <f ca="1">IFERROR(AVERAGE(INDEX(INDIRECT("input!" &amp; $D$112 &amp; ":" &amp; $D$112),FirstRowInput+Integration*COUNT($B$114:B444)):INDEX(INDIRECT("input!" &amp; $D$112 &amp; ":" &amp; $D$112),FirstRowInput+Integration*COUNT($B$114:B444)+Integration-1))*$D$110,"")</f>
        <v/>
      </c>
      <c r="E445" s="77" t="str">
        <f ca="1">IFERROR(AVERAGE(INDEX(INDIRECT("input!" &amp; $E$112 &amp; ":" &amp; $E$112),FirstRowInput+Integration*COUNT($B$114:B444)):INDEX(INDIRECT("input!" &amp; $E$112 &amp; ":" &amp; $E$112),FirstRowInput+Integration*COUNT($B$114:B444)+Integration-1))*$E$110,"")</f>
        <v/>
      </c>
      <c r="F445" s="77" t="str">
        <f ca="1">IFERROR(AVERAGE(INDEX(INDIRECT("input!" &amp; $F$112 &amp; ":" &amp; $F$112),FirstRowInput+Integration*COUNT($B$114:B444)):INDEX(INDIRECT("input!" &amp; $F$112 &amp; ":" &amp; $F$112),FirstRowInput+Integration*COUNT($B$114:B444)+Integration-1))*$F$110,"")</f>
        <v/>
      </c>
      <c r="G445" s="77" t="str">
        <f ca="1">IFERROR(AVERAGE(INDEX(INDIRECT("input!" &amp; $G$112 &amp; ":" &amp; $G$112),FirstRowInput+Integration*COUNT($B$114:B444)):INDEX(INDIRECT("input!" &amp; $G$112 &amp; ":" &amp; $G$112),FirstRowInput+Integration*COUNT($B$114:B444)+Integration-1))*$G$110,"")</f>
        <v/>
      </c>
      <c r="H445" s="77" t="str">
        <f ca="1">IFERROR(AVERAGE(INDEX(INDIRECT("input!" &amp; $H$112 &amp; ":" &amp; $H$112),FirstRowInput+Integration*COUNT($B$114:B444)):INDEX(INDIRECT("input!" &amp; $H$112 &amp; ":" &amp; $H$112),FirstRowInput+Integration*COUNT($B$114:B444)+Integration-1))*$H$110,"")</f>
        <v/>
      </c>
      <c r="I445" s="42">
        <v>333</v>
      </c>
      <c r="J445"/>
      <c r="K445"/>
      <c r="L445"/>
      <c r="M445"/>
      <c r="N445"/>
      <c r="O445"/>
      <c r="P445"/>
      <c r="Q445"/>
      <c r="R445"/>
      <c r="S445"/>
      <c r="T445"/>
      <c r="U445"/>
      <c r="V445"/>
      <c r="W445"/>
      <c r="X445"/>
      <c r="Y445"/>
      <c r="Z445"/>
      <c r="AA445"/>
      <c r="AB445"/>
      <c r="AC445"/>
      <c r="AD445"/>
      <c r="AE445"/>
      <c r="AF445"/>
      <c r="AG445"/>
      <c r="AH445"/>
      <c r="AI445"/>
      <c r="AJ445"/>
      <c r="AK445"/>
      <c r="AL445"/>
      <c r="AM445"/>
      <c r="AN445"/>
    </row>
    <row r="446" spans="1:40" x14ac:dyDescent="0.15">
      <c r="A446" s="75">
        <f ca="1">IFERROR(IF(AND(MAX($A$114:A445)&gt;A445+1, MAX($A$114:A445)&gt;20),0,IF(AND(D446="",G446=""),0,IF(OR(D446&gt;LimitSignB10, G446&gt;LimitSignB11),A445+1,0))),"")</f>
        <v>0</v>
      </c>
      <c r="B446" s="76" t="str">
        <f ca="1">IFERROR(MyTime(INDEX(INDIRECT("input!"&amp;$B$112&amp;":"&amp;$B$112),FirstRowInput+Integration*COUNT($B$114:B445)) )* $B$110,"")</f>
        <v/>
      </c>
      <c r="C446" s="77" t="str">
        <f ca="1">IFERROR(AVERAGE(INDEX(INDIRECT("input!" &amp; $C$112 &amp; ":" &amp; $C$112),FirstRowInput+Integration*COUNT($B$114:B445)):INDEX(INDIRECT("input!" &amp; $C$112 &amp; ":" &amp; $C$112),FirstRowInput+Integration*COUNT($B$114:B445)+Integration-1))*$C$110,"")</f>
        <v/>
      </c>
      <c r="D446" s="77" t="str">
        <f ca="1">IFERROR(AVERAGE(INDEX(INDIRECT("input!" &amp; $D$112 &amp; ":" &amp; $D$112),FirstRowInput+Integration*COUNT($B$114:B445)):INDEX(INDIRECT("input!" &amp; $D$112 &amp; ":" &amp; $D$112),FirstRowInput+Integration*COUNT($B$114:B445)+Integration-1))*$D$110,"")</f>
        <v/>
      </c>
      <c r="E446" s="77" t="str">
        <f ca="1">IFERROR(AVERAGE(INDEX(INDIRECT("input!" &amp; $E$112 &amp; ":" &amp; $E$112),FirstRowInput+Integration*COUNT($B$114:B445)):INDEX(INDIRECT("input!" &amp; $E$112 &amp; ":" &amp; $E$112),FirstRowInput+Integration*COUNT($B$114:B445)+Integration-1))*$E$110,"")</f>
        <v/>
      </c>
      <c r="F446" s="77" t="str">
        <f ca="1">IFERROR(AVERAGE(INDEX(INDIRECT("input!" &amp; $F$112 &amp; ":" &amp; $F$112),FirstRowInput+Integration*COUNT($B$114:B445)):INDEX(INDIRECT("input!" &amp; $F$112 &amp; ":" &amp; $F$112),FirstRowInput+Integration*COUNT($B$114:B445)+Integration-1))*$F$110,"")</f>
        <v/>
      </c>
      <c r="G446" s="77" t="str">
        <f ca="1">IFERROR(AVERAGE(INDEX(INDIRECT("input!" &amp; $G$112 &amp; ":" &amp; $G$112),FirstRowInput+Integration*COUNT($B$114:B445)):INDEX(INDIRECT("input!" &amp; $G$112 &amp; ":" &amp; $G$112),FirstRowInput+Integration*COUNT($B$114:B445)+Integration-1))*$G$110,"")</f>
        <v/>
      </c>
      <c r="H446" s="77" t="str">
        <f ca="1">IFERROR(AVERAGE(INDEX(INDIRECT("input!" &amp; $H$112 &amp; ":" &amp; $H$112),FirstRowInput+Integration*COUNT($B$114:B445)):INDEX(INDIRECT("input!" &amp; $H$112 &amp; ":" &amp; $H$112),FirstRowInput+Integration*COUNT($B$114:B445)+Integration-1))*$H$110,"")</f>
        <v/>
      </c>
      <c r="I446" s="42">
        <v>334</v>
      </c>
      <c r="J446"/>
      <c r="K446"/>
      <c r="L446"/>
      <c r="M446"/>
      <c r="N446"/>
      <c r="O446"/>
      <c r="P446"/>
      <c r="Q446"/>
      <c r="R446"/>
      <c r="S446"/>
      <c r="T446"/>
      <c r="U446"/>
      <c r="V446"/>
      <c r="W446"/>
      <c r="X446"/>
      <c r="Y446"/>
      <c r="Z446"/>
      <c r="AA446"/>
      <c r="AB446"/>
      <c r="AC446"/>
      <c r="AD446"/>
      <c r="AE446"/>
      <c r="AF446"/>
      <c r="AG446"/>
      <c r="AH446"/>
      <c r="AI446"/>
      <c r="AJ446"/>
      <c r="AK446"/>
      <c r="AL446"/>
      <c r="AM446"/>
      <c r="AN446"/>
    </row>
    <row r="447" spans="1:40" x14ac:dyDescent="0.15">
      <c r="A447" s="75">
        <f ca="1">IFERROR(IF(AND(MAX($A$114:A446)&gt;A446+1, MAX($A$114:A446)&gt;20),0,IF(AND(D447="",G447=""),0,IF(OR(D447&gt;LimitSignB10, G447&gt;LimitSignB11),A446+1,0))),"")</f>
        <v>0</v>
      </c>
      <c r="B447" s="76" t="str">
        <f ca="1">IFERROR(MyTime(INDEX(INDIRECT("input!"&amp;$B$112&amp;":"&amp;$B$112),FirstRowInput+Integration*COUNT($B$114:B446)) )* $B$110,"")</f>
        <v/>
      </c>
      <c r="C447" s="77" t="str">
        <f ca="1">IFERROR(AVERAGE(INDEX(INDIRECT("input!" &amp; $C$112 &amp; ":" &amp; $C$112),FirstRowInput+Integration*COUNT($B$114:B446)):INDEX(INDIRECT("input!" &amp; $C$112 &amp; ":" &amp; $C$112),FirstRowInput+Integration*COUNT($B$114:B446)+Integration-1))*$C$110,"")</f>
        <v/>
      </c>
      <c r="D447" s="77" t="str">
        <f ca="1">IFERROR(AVERAGE(INDEX(INDIRECT("input!" &amp; $D$112 &amp; ":" &amp; $D$112),FirstRowInput+Integration*COUNT($B$114:B446)):INDEX(INDIRECT("input!" &amp; $D$112 &amp; ":" &amp; $D$112),FirstRowInput+Integration*COUNT($B$114:B446)+Integration-1))*$D$110,"")</f>
        <v/>
      </c>
      <c r="E447" s="77" t="str">
        <f ca="1">IFERROR(AVERAGE(INDEX(INDIRECT("input!" &amp; $E$112 &amp; ":" &amp; $E$112),FirstRowInput+Integration*COUNT($B$114:B446)):INDEX(INDIRECT("input!" &amp; $E$112 &amp; ":" &amp; $E$112),FirstRowInput+Integration*COUNT($B$114:B446)+Integration-1))*$E$110,"")</f>
        <v/>
      </c>
      <c r="F447" s="77" t="str">
        <f ca="1">IFERROR(AVERAGE(INDEX(INDIRECT("input!" &amp; $F$112 &amp; ":" &amp; $F$112),FirstRowInput+Integration*COUNT($B$114:B446)):INDEX(INDIRECT("input!" &amp; $F$112 &amp; ":" &amp; $F$112),FirstRowInput+Integration*COUNT($B$114:B446)+Integration-1))*$F$110,"")</f>
        <v/>
      </c>
      <c r="G447" s="77" t="str">
        <f ca="1">IFERROR(AVERAGE(INDEX(INDIRECT("input!" &amp; $G$112 &amp; ":" &amp; $G$112),FirstRowInput+Integration*COUNT($B$114:B446)):INDEX(INDIRECT("input!" &amp; $G$112 &amp; ":" &amp; $G$112),FirstRowInput+Integration*COUNT($B$114:B446)+Integration-1))*$G$110,"")</f>
        <v/>
      </c>
      <c r="H447" s="77" t="str">
        <f ca="1">IFERROR(AVERAGE(INDEX(INDIRECT("input!" &amp; $H$112 &amp; ":" &amp; $H$112),FirstRowInput+Integration*COUNT($B$114:B446)):INDEX(INDIRECT("input!" &amp; $H$112 &amp; ":" &amp; $H$112),FirstRowInput+Integration*COUNT($B$114:B446)+Integration-1))*$H$110,"")</f>
        <v/>
      </c>
      <c r="I447" s="42">
        <v>335</v>
      </c>
      <c r="J447"/>
      <c r="K447"/>
      <c r="L447"/>
      <c r="M447"/>
      <c r="N447"/>
      <c r="O447"/>
      <c r="P447"/>
      <c r="Q447"/>
      <c r="R447"/>
      <c r="S447"/>
      <c r="T447"/>
      <c r="U447"/>
      <c r="V447"/>
      <c r="W447"/>
      <c r="X447"/>
      <c r="Y447"/>
      <c r="Z447"/>
      <c r="AA447"/>
      <c r="AB447"/>
      <c r="AC447"/>
      <c r="AD447"/>
      <c r="AE447"/>
      <c r="AF447"/>
      <c r="AG447"/>
      <c r="AH447"/>
      <c r="AI447"/>
      <c r="AJ447"/>
      <c r="AK447"/>
      <c r="AL447"/>
      <c r="AM447"/>
      <c r="AN447"/>
    </row>
    <row r="448" spans="1:40" x14ac:dyDescent="0.15">
      <c r="A448" s="75">
        <f ca="1">IFERROR(IF(AND(MAX($A$114:A447)&gt;A447+1, MAX($A$114:A447)&gt;20),0,IF(AND(D448="",G448=""),0,IF(OR(D448&gt;LimitSignB10, G448&gt;LimitSignB11),A447+1,0))),"")</f>
        <v>0</v>
      </c>
      <c r="B448" s="76" t="str">
        <f ca="1">IFERROR(MyTime(INDEX(INDIRECT("input!"&amp;$B$112&amp;":"&amp;$B$112),FirstRowInput+Integration*COUNT($B$114:B447)) )* $B$110,"")</f>
        <v/>
      </c>
      <c r="C448" s="77" t="str">
        <f ca="1">IFERROR(AVERAGE(INDEX(INDIRECT("input!" &amp; $C$112 &amp; ":" &amp; $C$112),FirstRowInput+Integration*COUNT($B$114:B447)):INDEX(INDIRECT("input!" &amp; $C$112 &amp; ":" &amp; $C$112),FirstRowInput+Integration*COUNT($B$114:B447)+Integration-1))*$C$110,"")</f>
        <v/>
      </c>
      <c r="D448" s="77" t="str">
        <f ca="1">IFERROR(AVERAGE(INDEX(INDIRECT("input!" &amp; $D$112 &amp; ":" &amp; $D$112),FirstRowInput+Integration*COUNT($B$114:B447)):INDEX(INDIRECT("input!" &amp; $D$112 &amp; ":" &amp; $D$112),FirstRowInput+Integration*COUNT($B$114:B447)+Integration-1))*$D$110,"")</f>
        <v/>
      </c>
      <c r="E448" s="77" t="str">
        <f ca="1">IFERROR(AVERAGE(INDEX(INDIRECT("input!" &amp; $E$112 &amp; ":" &amp; $E$112),FirstRowInput+Integration*COUNT($B$114:B447)):INDEX(INDIRECT("input!" &amp; $E$112 &amp; ":" &amp; $E$112),FirstRowInput+Integration*COUNT($B$114:B447)+Integration-1))*$E$110,"")</f>
        <v/>
      </c>
      <c r="F448" s="77" t="str">
        <f ca="1">IFERROR(AVERAGE(INDEX(INDIRECT("input!" &amp; $F$112 &amp; ":" &amp; $F$112),FirstRowInput+Integration*COUNT($B$114:B447)):INDEX(INDIRECT("input!" &amp; $F$112 &amp; ":" &amp; $F$112),FirstRowInput+Integration*COUNT($B$114:B447)+Integration-1))*$F$110,"")</f>
        <v/>
      </c>
      <c r="G448" s="77" t="str">
        <f ca="1">IFERROR(AVERAGE(INDEX(INDIRECT("input!" &amp; $G$112 &amp; ":" &amp; $G$112),FirstRowInput+Integration*COUNT($B$114:B447)):INDEX(INDIRECT("input!" &amp; $G$112 &amp; ":" &amp; $G$112),FirstRowInput+Integration*COUNT($B$114:B447)+Integration-1))*$G$110,"")</f>
        <v/>
      </c>
      <c r="H448" s="77" t="str">
        <f ca="1">IFERROR(AVERAGE(INDEX(INDIRECT("input!" &amp; $H$112 &amp; ":" &amp; $H$112),FirstRowInput+Integration*COUNT($B$114:B447)):INDEX(INDIRECT("input!" &amp; $H$112 &amp; ":" &amp; $H$112),FirstRowInput+Integration*COUNT($B$114:B447)+Integration-1))*$H$110,"")</f>
        <v/>
      </c>
      <c r="I448" s="42">
        <v>336</v>
      </c>
      <c r="J448"/>
      <c r="K448"/>
      <c r="L448"/>
      <c r="M448"/>
      <c r="N448"/>
      <c r="O448"/>
      <c r="P448"/>
      <c r="Q448"/>
      <c r="R448"/>
      <c r="S448"/>
      <c r="T448"/>
      <c r="U448"/>
      <c r="V448"/>
      <c r="W448"/>
      <c r="X448"/>
      <c r="Y448"/>
      <c r="Z448"/>
      <c r="AA448"/>
      <c r="AB448"/>
      <c r="AC448"/>
      <c r="AD448"/>
      <c r="AE448"/>
      <c r="AF448"/>
      <c r="AG448"/>
      <c r="AH448"/>
      <c r="AI448"/>
      <c r="AJ448"/>
      <c r="AK448"/>
      <c r="AL448"/>
      <c r="AM448"/>
      <c r="AN448"/>
    </row>
    <row r="449" spans="1:40" x14ac:dyDescent="0.15">
      <c r="A449" s="75">
        <f ca="1">IFERROR(IF(AND(MAX($A$114:A448)&gt;A448+1, MAX($A$114:A448)&gt;20),0,IF(AND(D449="",G449=""),0,IF(OR(D449&gt;LimitSignB10, G449&gt;LimitSignB11),A448+1,0))),"")</f>
        <v>0</v>
      </c>
      <c r="B449" s="76" t="str">
        <f ca="1">IFERROR(MyTime(INDEX(INDIRECT("input!"&amp;$B$112&amp;":"&amp;$B$112),FirstRowInput+Integration*COUNT($B$114:B448)) )* $B$110,"")</f>
        <v/>
      </c>
      <c r="C449" s="77" t="str">
        <f ca="1">IFERROR(AVERAGE(INDEX(INDIRECT("input!" &amp; $C$112 &amp; ":" &amp; $C$112),FirstRowInput+Integration*COUNT($B$114:B448)):INDEX(INDIRECT("input!" &amp; $C$112 &amp; ":" &amp; $C$112),FirstRowInput+Integration*COUNT($B$114:B448)+Integration-1))*$C$110,"")</f>
        <v/>
      </c>
      <c r="D449" s="77" t="str">
        <f ca="1">IFERROR(AVERAGE(INDEX(INDIRECT("input!" &amp; $D$112 &amp; ":" &amp; $D$112),FirstRowInput+Integration*COUNT($B$114:B448)):INDEX(INDIRECT("input!" &amp; $D$112 &amp; ":" &amp; $D$112),FirstRowInput+Integration*COUNT($B$114:B448)+Integration-1))*$D$110,"")</f>
        <v/>
      </c>
      <c r="E449" s="77" t="str">
        <f ca="1">IFERROR(AVERAGE(INDEX(INDIRECT("input!" &amp; $E$112 &amp; ":" &amp; $E$112),FirstRowInput+Integration*COUNT($B$114:B448)):INDEX(INDIRECT("input!" &amp; $E$112 &amp; ":" &amp; $E$112),FirstRowInput+Integration*COUNT($B$114:B448)+Integration-1))*$E$110,"")</f>
        <v/>
      </c>
      <c r="F449" s="77" t="str">
        <f ca="1">IFERROR(AVERAGE(INDEX(INDIRECT("input!" &amp; $F$112 &amp; ":" &amp; $F$112),FirstRowInput+Integration*COUNT($B$114:B448)):INDEX(INDIRECT("input!" &amp; $F$112 &amp; ":" &amp; $F$112),FirstRowInput+Integration*COUNT($B$114:B448)+Integration-1))*$F$110,"")</f>
        <v/>
      </c>
      <c r="G449" s="77" t="str">
        <f ca="1">IFERROR(AVERAGE(INDEX(INDIRECT("input!" &amp; $G$112 &amp; ":" &amp; $G$112),FirstRowInput+Integration*COUNT($B$114:B448)):INDEX(INDIRECT("input!" &amp; $G$112 &amp; ":" &amp; $G$112),FirstRowInput+Integration*COUNT($B$114:B448)+Integration-1))*$G$110,"")</f>
        <v/>
      </c>
      <c r="H449" s="77" t="str">
        <f ca="1">IFERROR(AVERAGE(INDEX(INDIRECT("input!" &amp; $H$112 &amp; ":" &amp; $H$112),FirstRowInput+Integration*COUNT($B$114:B448)):INDEX(INDIRECT("input!" &amp; $H$112 &amp; ":" &amp; $H$112),FirstRowInput+Integration*COUNT($B$114:B448)+Integration-1))*$H$110,"")</f>
        <v/>
      </c>
      <c r="I449" s="42">
        <v>337</v>
      </c>
      <c r="J449"/>
      <c r="K449"/>
      <c r="L449"/>
      <c r="M449"/>
      <c r="N449"/>
      <c r="O449"/>
      <c r="P449"/>
      <c r="Q449"/>
      <c r="R449"/>
      <c r="S449"/>
      <c r="T449"/>
      <c r="U449"/>
      <c r="V449"/>
      <c r="W449"/>
      <c r="X449"/>
      <c r="Y449"/>
      <c r="Z449"/>
      <c r="AA449"/>
      <c r="AB449"/>
      <c r="AC449"/>
      <c r="AD449"/>
      <c r="AE449"/>
      <c r="AF449"/>
      <c r="AG449"/>
      <c r="AH449"/>
      <c r="AI449"/>
      <c r="AJ449"/>
      <c r="AK449"/>
      <c r="AL449"/>
      <c r="AM449"/>
      <c r="AN449"/>
    </row>
    <row r="450" spans="1:40" x14ac:dyDescent="0.15">
      <c r="A450" s="75">
        <f ca="1">IFERROR(IF(AND(MAX($A$114:A449)&gt;A449+1, MAX($A$114:A449)&gt;20),0,IF(AND(D450="",G450=""),0,IF(OR(D450&gt;LimitSignB10, G450&gt;LimitSignB11),A449+1,0))),"")</f>
        <v>0</v>
      </c>
      <c r="B450" s="76" t="str">
        <f ca="1">IFERROR(MyTime(INDEX(INDIRECT("input!"&amp;$B$112&amp;":"&amp;$B$112),FirstRowInput+Integration*COUNT($B$114:B449)) )* $B$110,"")</f>
        <v/>
      </c>
      <c r="C450" s="77" t="str">
        <f ca="1">IFERROR(AVERAGE(INDEX(INDIRECT("input!" &amp; $C$112 &amp; ":" &amp; $C$112),FirstRowInput+Integration*COUNT($B$114:B449)):INDEX(INDIRECT("input!" &amp; $C$112 &amp; ":" &amp; $C$112),FirstRowInput+Integration*COUNT($B$114:B449)+Integration-1))*$C$110,"")</f>
        <v/>
      </c>
      <c r="D450" s="77" t="str">
        <f ca="1">IFERROR(AVERAGE(INDEX(INDIRECT("input!" &amp; $D$112 &amp; ":" &amp; $D$112),FirstRowInput+Integration*COUNT($B$114:B449)):INDEX(INDIRECT("input!" &amp; $D$112 &amp; ":" &amp; $D$112),FirstRowInput+Integration*COUNT($B$114:B449)+Integration-1))*$D$110,"")</f>
        <v/>
      </c>
      <c r="E450" s="77" t="str">
        <f ca="1">IFERROR(AVERAGE(INDEX(INDIRECT("input!" &amp; $E$112 &amp; ":" &amp; $E$112),FirstRowInput+Integration*COUNT($B$114:B449)):INDEX(INDIRECT("input!" &amp; $E$112 &amp; ":" &amp; $E$112),FirstRowInput+Integration*COUNT($B$114:B449)+Integration-1))*$E$110,"")</f>
        <v/>
      </c>
      <c r="F450" s="77" t="str">
        <f ca="1">IFERROR(AVERAGE(INDEX(INDIRECT("input!" &amp; $F$112 &amp; ":" &amp; $F$112),FirstRowInput+Integration*COUNT($B$114:B449)):INDEX(INDIRECT("input!" &amp; $F$112 &amp; ":" &amp; $F$112),FirstRowInput+Integration*COUNT($B$114:B449)+Integration-1))*$F$110,"")</f>
        <v/>
      </c>
      <c r="G450" s="77" t="str">
        <f ca="1">IFERROR(AVERAGE(INDEX(INDIRECT("input!" &amp; $G$112 &amp; ":" &amp; $G$112),FirstRowInput+Integration*COUNT($B$114:B449)):INDEX(INDIRECT("input!" &amp; $G$112 &amp; ":" &amp; $G$112),FirstRowInput+Integration*COUNT($B$114:B449)+Integration-1))*$G$110,"")</f>
        <v/>
      </c>
      <c r="H450" s="77" t="str">
        <f ca="1">IFERROR(AVERAGE(INDEX(INDIRECT("input!" &amp; $H$112 &amp; ":" &amp; $H$112),FirstRowInput+Integration*COUNT($B$114:B449)):INDEX(INDIRECT("input!" &amp; $H$112 &amp; ":" &amp; $H$112),FirstRowInput+Integration*COUNT($B$114:B449)+Integration-1))*$H$110,"")</f>
        <v/>
      </c>
      <c r="I450" s="42">
        <v>338</v>
      </c>
      <c r="J450"/>
      <c r="K450"/>
      <c r="L450"/>
      <c r="M450"/>
      <c r="N450"/>
      <c r="O450"/>
      <c r="P450"/>
      <c r="Q450"/>
      <c r="R450"/>
      <c r="S450"/>
      <c r="T450"/>
      <c r="U450"/>
      <c r="V450"/>
      <c r="W450"/>
      <c r="X450"/>
      <c r="Y450"/>
      <c r="Z450"/>
      <c r="AA450"/>
      <c r="AB450"/>
      <c r="AC450"/>
      <c r="AD450"/>
      <c r="AE450"/>
      <c r="AF450"/>
      <c r="AG450"/>
      <c r="AH450"/>
      <c r="AI450"/>
      <c r="AJ450"/>
      <c r="AK450"/>
      <c r="AL450"/>
      <c r="AM450"/>
      <c r="AN450"/>
    </row>
    <row r="451" spans="1:40" x14ac:dyDescent="0.15">
      <c r="A451" s="75">
        <f ca="1">IFERROR(IF(AND(MAX($A$114:A450)&gt;A450+1, MAX($A$114:A450)&gt;20),0,IF(AND(D451="",G451=""),0,IF(OR(D451&gt;LimitSignB10, G451&gt;LimitSignB11),A450+1,0))),"")</f>
        <v>0</v>
      </c>
      <c r="B451" s="76" t="str">
        <f ca="1">IFERROR(MyTime(INDEX(INDIRECT("input!"&amp;$B$112&amp;":"&amp;$B$112),FirstRowInput+Integration*COUNT($B$114:B450)) )* $B$110,"")</f>
        <v/>
      </c>
      <c r="C451" s="77" t="str">
        <f ca="1">IFERROR(AVERAGE(INDEX(INDIRECT("input!" &amp; $C$112 &amp; ":" &amp; $C$112),FirstRowInput+Integration*COUNT($B$114:B450)):INDEX(INDIRECT("input!" &amp; $C$112 &amp; ":" &amp; $C$112),FirstRowInput+Integration*COUNT($B$114:B450)+Integration-1))*$C$110,"")</f>
        <v/>
      </c>
      <c r="D451" s="77" t="str">
        <f ca="1">IFERROR(AVERAGE(INDEX(INDIRECT("input!" &amp; $D$112 &amp; ":" &amp; $D$112),FirstRowInput+Integration*COUNT($B$114:B450)):INDEX(INDIRECT("input!" &amp; $D$112 &amp; ":" &amp; $D$112),FirstRowInput+Integration*COUNT($B$114:B450)+Integration-1))*$D$110,"")</f>
        <v/>
      </c>
      <c r="E451" s="77" t="str">
        <f ca="1">IFERROR(AVERAGE(INDEX(INDIRECT("input!" &amp; $E$112 &amp; ":" &amp; $E$112),FirstRowInput+Integration*COUNT($B$114:B450)):INDEX(INDIRECT("input!" &amp; $E$112 &amp; ":" &amp; $E$112),FirstRowInput+Integration*COUNT($B$114:B450)+Integration-1))*$E$110,"")</f>
        <v/>
      </c>
      <c r="F451" s="77" t="str">
        <f ca="1">IFERROR(AVERAGE(INDEX(INDIRECT("input!" &amp; $F$112 &amp; ":" &amp; $F$112),FirstRowInput+Integration*COUNT($B$114:B450)):INDEX(INDIRECT("input!" &amp; $F$112 &amp; ":" &amp; $F$112),FirstRowInput+Integration*COUNT($B$114:B450)+Integration-1))*$F$110,"")</f>
        <v/>
      </c>
      <c r="G451" s="77" t="str">
        <f ca="1">IFERROR(AVERAGE(INDEX(INDIRECT("input!" &amp; $G$112 &amp; ":" &amp; $G$112),FirstRowInput+Integration*COUNT($B$114:B450)):INDEX(INDIRECT("input!" &amp; $G$112 &amp; ":" &amp; $G$112),FirstRowInput+Integration*COUNT($B$114:B450)+Integration-1))*$G$110,"")</f>
        <v/>
      </c>
      <c r="H451" s="77" t="str">
        <f ca="1">IFERROR(AVERAGE(INDEX(INDIRECT("input!" &amp; $H$112 &amp; ":" &amp; $H$112),FirstRowInput+Integration*COUNT($B$114:B450)):INDEX(INDIRECT("input!" &amp; $H$112 &amp; ":" &amp; $H$112),FirstRowInput+Integration*COUNT($B$114:B450)+Integration-1))*$H$110,"")</f>
        <v/>
      </c>
      <c r="I451" s="42">
        <v>339</v>
      </c>
      <c r="J451"/>
      <c r="K451"/>
      <c r="L451"/>
      <c r="M451"/>
      <c r="N451"/>
      <c r="O451"/>
      <c r="P451"/>
      <c r="Q451"/>
      <c r="R451"/>
      <c r="S451"/>
      <c r="T451"/>
      <c r="U451"/>
      <c r="V451"/>
      <c r="W451"/>
      <c r="X451"/>
      <c r="Y451"/>
      <c r="Z451"/>
      <c r="AA451"/>
      <c r="AB451"/>
      <c r="AC451"/>
      <c r="AD451"/>
      <c r="AE451"/>
      <c r="AF451"/>
      <c r="AG451"/>
      <c r="AH451"/>
      <c r="AI451"/>
      <c r="AJ451"/>
      <c r="AK451"/>
      <c r="AL451"/>
      <c r="AM451"/>
      <c r="AN451"/>
    </row>
    <row r="452" spans="1:40" x14ac:dyDescent="0.15">
      <c r="A452" s="75">
        <f ca="1">IFERROR(IF(AND(MAX($A$114:A451)&gt;A451+1, MAX($A$114:A451)&gt;20),0,IF(AND(D452="",G452=""),0,IF(OR(D452&gt;LimitSignB10, G452&gt;LimitSignB11),A451+1,0))),"")</f>
        <v>0</v>
      </c>
      <c r="B452" s="76" t="str">
        <f ca="1">IFERROR(MyTime(INDEX(INDIRECT("input!"&amp;$B$112&amp;":"&amp;$B$112),FirstRowInput+Integration*COUNT($B$114:B451)) )* $B$110,"")</f>
        <v/>
      </c>
      <c r="C452" s="77" t="str">
        <f ca="1">IFERROR(AVERAGE(INDEX(INDIRECT("input!" &amp; $C$112 &amp; ":" &amp; $C$112),FirstRowInput+Integration*COUNT($B$114:B451)):INDEX(INDIRECT("input!" &amp; $C$112 &amp; ":" &amp; $C$112),FirstRowInput+Integration*COUNT($B$114:B451)+Integration-1))*$C$110,"")</f>
        <v/>
      </c>
      <c r="D452" s="77" t="str">
        <f ca="1">IFERROR(AVERAGE(INDEX(INDIRECT("input!" &amp; $D$112 &amp; ":" &amp; $D$112),FirstRowInput+Integration*COUNT($B$114:B451)):INDEX(INDIRECT("input!" &amp; $D$112 &amp; ":" &amp; $D$112),FirstRowInput+Integration*COUNT($B$114:B451)+Integration-1))*$D$110,"")</f>
        <v/>
      </c>
      <c r="E452" s="77" t="str">
        <f ca="1">IFERROR(AVERAGE(INDEX(INDIRECT("input!" &amp; $E$112 &amp; ":" &amp; $E$112),FirstRowInput+Integration*COUNT($B$114:B451)):INDEX(INDIRECT("input!" &amp; $E$112 &amp; ":" &amp; $E$112),FirstRowInput+Integration*COUNT($B$114:B451)+Integration-1))*$E$110,"")</f>
        <v/>
      </c>
      <c r="F452" s="77" t="str">
        <f ca="1">IFERROR(AVERAGE(INDEX(INDIRECT("input!" &amp; $F$112 &amp; ":" &amp; $F$112),FirstRowInput+Integration*COUNT($B$114:B451)):INDEX(INDIRECT("input!" &amp; $F$112 &amp; ":" &amp; $F$112),FirstRowInput+Integration*COUNT($B$114:B451)+Integration-1))*$F$110,"")</f>
        <v/>
      </c>
      <c r="G452" s="77" t="str">
        <f ca="1">IFERROR(AVERAGE(INDEX(INDIRECT("input!" &amp; $G$112 &amp; ":" &amp; $G$112),FirstRowInput+Integration*COUNT($B$114:B451)):INDEX(INDIRECT("input!" &amp; $G$112 &amp; ":" &amp; $G$112),FirstRowInput+Integration*COUNT($B$114:B451)+Integration-1))*$G$110,"")</f>
        <v/>
      </c>
      <c r="H452" s="77" t="str">
        <f ca="1">IFERROR(AVERAGE(INDEX(INDIRECT("input!" &amp; $H$112 &amp; ":" &amp; $H$112),FirstRowInput+Integration*COUNT($B$114:B451)):INDEX(INDIRECT("input!" &amp; $H$112 &amp; ":" &amp; $H$112),FirstRowInput+Integration*COUNT($B$114:B451)+Integration-1))*$H$110,"")</f>
        <v/>
      </c>
      <c r="I452" s="42">
        <v>340</v>
      </c>
      <c r="J452"/>
      <c r="K452"/>
      <c r="L452"/>
      <c r="M452"/>
      <c r="N452"/>
      <c r="O452"/>
      <c r="P452"/>
      <c r="Q452"/>
      <c r="R452"/>
      <c r="S452"/>
      <c r="T452"/>
      <c r="U452"/>
      <c r="V452"/>
      <c r="W452"/>
      <c r="X452"/>
      <c r="Y452"/>
      <c r="Z452"/>
      <c r="AA452"/>
      <c r="AB452"/>
      <c r="AC452"/>
      <c r="AD452"/>
      <c r="AE452"/>
      <c r="AF452"/>
      <c r="AG452"/>
      <c r="AH452"/>
      <c r="AI452"/>
      <c r="AJ452"/>
      <c r="AK452"/>
      <c r="AL452"/>
      <c r="AM452"/>
      <c r="AN452"/>
    </row>
    <row r="453" spans="1:40" x14ac:dyDescent="0.15">
      <c r="A453" s="75">
        <f ca="1">IFERROR(IF(AND(MAX($A$114:A452)&gt;A452+1, MAX($A$114:A452)&gt;20),0,IF(AND(D453="",G453=""),0,IF(OR(D453&gt;LimitSignB10, G453&gt;LimitSignB11),A452+1,0))),"")</f>
        <v>0</v>
      </c>
      <c r="B453" s="76" t="str">
        <f ca="1">IFERROR(MyTime(INDEX(INDIRECT("input!"&amp;$B$112&amp;":"&amp;$B$112),FirstRowInput+Integration*COUNT($B$114:B452)) )* $B$110,"")</f>
        <v/>
      </c>
      <c r="C453" s="77" t="str">
        <f ca="1">IFERROR(AVERAGE(INDEX(INDIRECT("input!" &amp; $C$112 &amp; ":" &amp; $C$112),FirstRowInput+Integration*COUNT($B$114:B452)):INDEX(INDIRECT("input!" &amp; $C$112 &amp; ":" &amp; $C$112),FirstRowInput+Integration*COUNT($B$114:B452)+Integration-1))*$C$110,"")</f>
        <v/>
      </c>
      <c r="D453" s="77" t="str">
        <f ca="1">IFERROR(AVERAGE(INDEX(INDIRECT("input!" &amp; $D$112 &amp; ":" &amp; $D$112),FirstRowInput+Integration*COUNT($B$114:B452)):INDEX(INDIRECT("input!" &amp; $D$112 &amp; ":" &amp; $D$112),FirstRowInput+Integration*COUNT($B$114:B452)+Integration-1))*$D$110,"")</f>
        <v/>
      </c>
      <c r="E453" s="77" t="str">
        <f ca="1">IFERROR(AVERAGE(INDEX(INDIRECT("input!" &amp; $E$112 &amp; ":" &amp; $E$112),FirstRowInput+Integration*COUNT($B$114:B452)):INDEX(INDIRECT("input!" &amp; $E$112 &amp; ":" &amp; $E$112),FirstRowInput+Integration*COUNT($B$114:B452)+Integration-1))*$E$110,"")</f>
        <v/>
      </c>
      <c r="F453" s="77" t="str">
        <f ca="1">IFERROR(AVERAGE(INDEX(INDIRECT("input!" &amp; $F$112 &amp; ":" &amp; $F$112),FirstRowInput+Integration*COUNT($B$114:B452)):INDEX(INDIRECT("input!" &amp; $F$112 &amp; ":" &amp; $F$112),FirstRowInput+Integration*COUNT($B$114:B452)+Integration-1))*$F$110,"")</f>
        <v/>
      </c>
      <c r="G453" s="77" t="str">
        <f ca="1">IFERROR(AVERAGE(INDEX(INDIRECT("input!" &amp; $G$112 &amp; ":" &amp; $G$112),FirstRowInput+Integration*COUNT($B$114:B452)):INDEX(INDIRECT("input!" &amp; $G$112 &amp; ":" &amp; $G$112),FirstRowInput+Integration*COUNT($B$114:B452)+Integration-1))*$G$110,"")</f>
        <v/>
      </c>
      <c r="H453" s="77" t="str">
        <f ca="1">IFERROR(AVERAGE(INDEX(INDIRECT("input!" &amp; $H$112 &amp; ":" &amp; $H$112),FirstRowInput+Integration*COUNT($B$114:B452)):INDEX(INDIRECT("input!" &amp; $H$112 &amp; ":" &amp; $H$112),FirstRowInput+Integration*COUNT($B$114:B452)+Integration-1))*$H$110,"")</f>
        <v/>
      </c>
      <c r="I453" s="42">
        <v>341</v>
      </c>
      <c r="J453"/>
      <c r="K453"/>
      <c r="L453"/>
      <c r="M453"/>
      <c r="N453"/>
      <c r="O453"/>
      <c r="P453"/>
      <c r="Q453"/>
      <c r="R453"/>
      <c r="S453"/>
      <c r="T453"/>
      <c r="U453"/>
      <c r="V453"/>
      <c r="W453"/>
      <c r="X453"/>
      <c r="Y453"/>
      <c r="Z453"/>
      <c r="AA453"/>
      <c r="AB453"/>
      <c r="AC453"/>
      <c r="AD453"/>
      <c r="AE453"/>
      <c r="AF453"/>
      <c r="AG453"/>
      <c r="AH453"/>
      <c r="AI453"/>
      <c r="AJ453"/>
      <c r="AK453"/>
      <c r="AL453"/>
      <c r="AM453"/>
      <c r="AN453"/>
    </row>
    <row r="454" spans="1:40" x14ac:dyDescent="0.15">
      <c r="A454" s="75">
        <f ca="1">IFERROR(IF(AND(MAX($A$114:A453)&gt;A453+1, MAX($A$114:A453)&gt;20),0,IF(AND(D454="",G454=""),0,IF(OR(D454&gt;LimitSignB10, G454&gt;LimitSignB11),A453+1,0))),"")</f>
        <v>0</v>
      </c>
      <c r="B454" s="76" t="str">
        <f ca="1">IFERROR(MyTime(INDEX(INDIRECT("input!"&amp;$B$112&amp;":"&amp;$B$112),FirstRowInput+Integration*COUNT($B$114:B453)) )* $B$110,"")</f>
        <v/>
      </c>
      <c r="C454" s="77" t="str">
        <f ca="1">IFERROR(AVERAGE(INDEX(INDIRECT("input!" &amp; $C$112 &amp; ":" &amp; $C$112),FirstRowInput+Integration*COUNT($B$114:B453)):INDEX(INDIRECT("input!" &amp; $C$112 &amp; ":" &amp; $C$112),FirstRowInput+Integration*COUNT($B$114:B453)+Integration-1))*$C$110,"")</f>
        <v/>
      </c>
      <c r="D454" s="77" t="str">
        <f ca="1">IFERROR(AVERAGE(INDEX(INDIRECT("input!" &amp; $D$112 &amp; ":" &amp; $D$112),FirstRowInput+Integration*COUNT($B$114:B453)):INDEX(INDIRECT("input!" &amp; $D$112 &amp; ":" &amp; $D$112),FirstRowInput+Integration*COUNT($B$114:B453)+Integration-1))*$D$110,"")</f>
        <v/>
      </c>
      <c r="E454" s="77" t="str">
        <f ca="1">IFERROR(AVERAGE(INDEX(INDIRECT("input!" &amp; $E$112 &amp; ":" &amp; $E$112),FirstRowInput+Integration*COUNT($B$114:B453)):INDEX(INDIRECT("input!" &amp; $E$112 &amp; ":" &amp; $E$112),FirstRowInput+Integration*COUNT($B$114:B453)+Integration-1))*$E$110,"")</f>
        <v/>
      </c>
      <c r="F454" s="77" t="str">
        <f ca="1">IFERROR(AVERAGE(INDEX(INDIRECT("input!" &amp; $F$112 &amp; ":" &amp; $F$112),FirstRowInput+Integration*COUNT($B$114:B453)):INDEX(INDIRECT("input!" &amp; $F$112 &amp; ":" &amp; $F$112),FirstRowInput+Integration*COUNT($B$114:B453)+Integration-1))*$F$110,"")</f>
        <v/>
      </c>
      <c r="G454" s="77" t="str">
        <f ca="1">IFERROR(AVERAGE(INDEX(INDIRECT("input!" &amp; $G$112 &amp; ":" &amp; $G$112),FirstRowInput+Integration*COUNT($B$114:B453)):INDEX(INDIRECT("input!" &amp; $G$112 &amp; ":" &amp; $G$112),FirstRowInput+Integration*COUNT($B$114:B453)+Integration-1))*$G$110,"")</f>
        <v/>
      </c>
      <c r="H454" s="77" t="str">
        <f ca="1">IFERROR(AVERAGE(INDEX(INDIRECT("input!" &amp; $H$112 &amp; ":" &amp; $H$112),FirstRowInput+Integration*COUNT($B$114:B453)):INDEX(INDIRECT("input!" &amp; $H$112 &amp; ":" &amp; $H$112),FirstRowInput+Integration*COUNT($B$114:B453)+Integration-1))*$H$110,"")</f>
        <v/>
      </c>
      <c r="I454" s="42">
        <v>342</v>
      </c>
      <c r="J454"/>
      <c r="K454"/>
      <c r="L454"/>
      <c r="M454"/>
      <c r="N454"/>
      <c r="O454"/>
      <c r="P454"/>
      <c r="Q454"/>
      <c r="R454"/>
      <c r="S454"/>
      <c r="T454"/>
      <c r="U454"/>
      <c r="V454"/>
      <c r="W454"/>
      <c r="X454"/>
      <c r="Y454"/>
      <c r="Z454"/>
      <c r="AA454"/>
      <c r="AB454"/>
      <c r="AC454"/>
      <c r="AD454"/>
      <c r="AE454"/>
      <c r="AF454"/>
      <c r="AG454"/>
      <c r="AH454"/>
      <c r="AI454"/>
      <c r="AJ454"/>
      <c r="AK454"/>
      <c r="AL454"/>
      <c r="AM454"/>
      <c r="AN454"/>
    </row>
    <row r="455" spans="1:40" x14ac:dyDescent="0.15">
      <c r="A455" s="75">
        <f ca="1">IFERROR(IF(AND(MAX($A$114:A454)&gt;A454+1, MAX($A$114:A454)&gt;20),0,IF(AND(D455="",G455=""),0,IF(OR(D455&gt;LimitSignB10, G455&gt;LimitSignB11),A454+1,0))),"")</f>
        <v>0</v>
      </c>
      <c r="B455" s="76" t="str">
        <f ca="1">IFERROR(MyTime(INDEX(INDIRECT("input!"&amp;$B$112&amp;":"&amp;$B$112),FirstRowInput+Integration*COUNT($B$114:B454)) )* $B$110,"")</f>
        <v/>
      </c>
      <c r="C455" s="77" t="str">
        <f ca="1">IFERROR(AVERAGE(INDEX(INDIRECT("input!" &amp; $C$112 &amp; ":" &amp; $C$112),FirstRowInput+Integration*COUNT($B$114:B454)):INDEX(INDIRECT("input!" &amp; $C$112 &amp; ":" &amp; $C$112),FirstRowInput+Integration*COUNT($B$114:B454)+Integration-1))*$C$110,"")</f>
        <v/>
      </c>
      <c r="D455" s="77" t="str">
        <f ca="1">IFERROR(AVERAGE(INDEX(INDIRECT("input!" &amp; $D$112 &amp; ":" &amp; $D$112),FirstRowInput+Integration*COUNT($B$114:B454)):INDEX(INDIRECT("input!" &amp; $D$112 &amp; ":" &amp; $D$112),FirstRowInput+Integration*COUNT($B$114:B454)+Integration-1))*$D$110,"")</f>
        <v/>
      </c>
      <c r="E455" s="77" t="str">
        <f ca="1">IFERROR(AVERAGE(INDEX(INDIRECT("input!" &amp; $E$112 &amp; ":" &amp; $E$112),FirstRowInput+Integration*COUNT($B$114:B454)):INDEX(INDIRECT("input!" &amp; $E$112 &amp; ":" &amp; $E$112),FirstRowInput+Integration*COUNT($B$114:B454)+Integration-1))*$E$110,"")</f>
        <v/>
      </c>
      <c r="F455" s="77" t="str">
        <f ca="1">IFERROR(AVERAGE(INDEX(INDIRECT("input!" &amp; $F$112 &amp; ":" &amp; $F$112),FirstRowInput+Integration*COUNT($B$114:B454)):INDEX(INDIRECT("input!" &amp; $F$112 &amp; ":" &amp; $F$112),FirstRowInput+Integration*COUNT($B$114:B454)+Integration-1))*$F$110,"")</f>
        <v/>
      </c>
      <c r="G455" s="77" t="str">
        <f ca="1">IFERROR(AVERAGE(INDEX(INDIRECT("input!" &amp; $G$112 &amp; ":" &amp; $G$112),FirstRowInput+Integration*COUNT($B$114:B454)):INDEX(INDIRECT("input!" &amp; $G$112 &amp; ":" &amp; $G$112),FirstRowInput+Integration*COUNT($B$114:B454)+Integration-1))*$G$110,"")</f>
        <v/>
      </c>
      <c r="H455" s="77" t="str">
        <f ca="1">IFERROR(AVERAGE(INDEX(INDIRECT("input!" &amp; $H$112 &amp; ":" &amp; $H$112),FirstRowInput+Integration*COUNT($B$114:B454)):INDEX(INDIRECT("input!" &amp; $H$112 &amp; ":" &amp; $H$112),FirstRowInput+Integration*COUNT($B$114:B454)+Integration-1))*$H$110,"")</f>
        <v/>
      </c>
      <c r="I455" s="42">
        <v>343</v>
      </c>
      <c r="J455"/>
      <c r="K455"/>
      <c r="L455"/>
      <c r="M455"/>
      <c r="N455"/>
      <c r="O455"/>
      <c r="P455"/>
      <c r="Q455"/>
      <c r="R455"/>
      <c r="S455"/>
      <c r="T455"/>
      <c r="U455"/>
      <c r="V455"/>
      <c r="W455"/>
      <c r="X455"/>
      <c r="Y455"/>
      <c r="Z455"/>
      <c r="AA455"/>
      <c r="AB455"/>
      <c r="AC455"/>
      <c r="AD455"/>
      <c r="AE455"/>
      <c r="AF455"/>
      <c r="AG455"/>
      <c r="AH455"/>
      <c r="AI455"/>
      <c r="AJ455"/>
      <c r="AK455"/>
      <c r="AL455"/>
      <c r="AM455"/>
      <c r="AN455"/>
    </row>
    <row r="456" spans="1:40" x14ac:dyDescent="0.15">
      <c r="A456" s="75">
        <f ca="1">IFERROR(IF(AND(MAX($A$114:A455)&gt;A455+1, MAX($A$114:A455)&gt;20),0,IF(AND(D456="",G456=""),0,IF(OR(D456&gt;LimitSignB10, G456&gt;LimitSignB11),A455+1,0))),"")</f>
        <v>0</v>
      </c>
      <c r="B456" s="76" t="str">
        <f ca="1">IFERROR(MyTime(INDEX(INDIRECT("input!"&amp;$B$112&amp;":"&amp;$B$112),FirstRowInput+Integration*COUNT($B$114:B455)) )* $B$110,"")</f>
        <v/>
      </c>
      <c r="C456" s="77" t="str">
        <f ca="1">IFERROR(AVERAGE(INDEX(INDIRECT("input!" &amp; $C$112 &amp; ":" &amp; $C$112),FirstRowInput+Integration*COUNT($B$114:B455)):INDEX(INDIRECT("input!" &amp; $C$112 &amp; ":" &amp; $C$112),FirstRowInput+Integration*COUNT($B$114:B455)+Integration-1))*$C$110,"")</f>
        <v/>
      </c>
      <c r="D456" s="77" t="str">
        <f ca="1">IFERROR(AVERAGE(INDEX(INDIRECT("input!" &amp; $D$112 &amp; ":" &amp; $D$112),FirstRowInput+Integration*COUNT($B$114:B455)):INDEX(INDIRECT("input!" &amp; $D$112 &amp; ":" &amp; $D$112),FirstRowInput+Integration*COUNT($B$114:B455)+Integration-1))*$D$110,"")</f>
        <v/>
      </c>
      <c r="E456" s="77" t="str">
        <f ca="1">IFERROR(AVERAGE(INDEX(INDIRECT("input!" &amp; $E$112 &amp; ":" &amp; $E$112),FirstRowInput+Integration*COUNT($B$114:B455)):INDEX(INDIRECT("input!" &amp; $E$112 &amp; ":" &amp; $E$112),FirstRowInput+Integration*COUNT($B$114:B455)+Integration-1))*$E$110,"")</f>
        <v/>
      </c>
      <c r="F456" s="77" t="str">
        <f ca="1">IFERROR(AVERAGE(INDEX(INDIRECT("input!" &amp; $F$112 &amp; ":" &amp; $F$112),FirstRowInput+Integration*COUNT($B$114:B455)):INDEX(INDIRECT("input!" &amp; $F$112 &amp; ":" &amp; $F$112),FirstRowInput+Integration*COUNT($B$114:B455)+Integration-1))*$F$110,"")</f>
        <v/>
      </c>
      <c r="G456" s="77" t="str">
        <f ca="1">IFERROR(AVERAGE(INDEX(INDIRECT("input!" &amp; $G$112 &amp; ":" &amp; $G$112),FirstRowInput+Integration*COUNT($B$114:B455)):INDEX(INDIRECT("input!" &amp; $G$112 &amp; ":" &amp; $G$112),FirstRowInput+Integration*COUNT($B$114:B455)+Integration-1))*$G$110,"")</f>
        <v/>
      </c>
      <c r="H456" s="77" t="str">
        <f ca="1">IFERROR(AVERAGE(INDEX(INDIRECT("input!" &amp; $H$112 &amp; ":" &amp; $H$112),FirstRowInput+Integration*COUNT($B$114:B455)):INDEX(INDIRECT("input!" &amp; $H$112 &amp; ":" &amp; $H$112),FirstRowInput+Integration*COUNT($B$114:B455)+Integration-1))*$H$110,"")</f>
        <v/>
      </c>
      <c r="I456" s="42">
        <v>344</v>
      </c>
      <c r="J456"/>
      <c r="K456"/>
      <c r="L456"/>
      <c r="M456"/>
      <c r="N456"/>
      <c r="O456"/>
      <c r="P456"/>
      <c r="Q456"/>
      <c r="R456"/>
      <c r="S456"/>
      <c r="T456"/>
      <c r="U456"/>
      <c r="V456"/>
      <c r="W456"/>
      <c r="X456"/>
      <c r="Y456"/>
      <c r="Z456"/>
      <c r="AA456"/>
      <c r="AB456"/>
      <c r="AC456"/>
      <c r="AD456"/>
      <c r="AE456"/>
      <c r="AF456"/>
      <c r="AG456"/>
      <c r="AH456"/>
      <c r="AI456"/>
      <c r="AJ456"/>
      <c r="AK456"/>
      <c r="AL456"/>
      <c r="AM456"/>
      <c r="AN456"/>
    </row>
    <row r="457" spans="1:40" x14ac:dyDescent="0.15">
      <c r="A457" s="75">
        <f ca="1">IFERROR(IF(AND(MAX($A$114:A456)&gt;A456+1, MAX($A$114:A456)&gt;20),0,IF(AND(D457="",G457=""),0,IF(OR(D457&gt;LimitSignB10, G457&gt;LimitSignB11),A456+1,0))),"")</f>
        <v>0</v>
      </c>
      <c r="B457" s="76" t="str">
        <f ca="1">IFERROR(MyTime(INDEX(INDIRECT("input!"&amp;$B$112&amp;":"&amp;$B$112),FirstRowInput+Integration*COUNT($B$114:B456)) )* $B$110,"")</f>
        <v/>
      </c>
      <c r="C457" s="77" t="str">
        <f ca="1">IFERROR(AVERAGE(INDEX(INDIRECT("input!" &amp; $C$112 &amp; ":" &amp; $C$112),FirstRowInput+Integration*COUNT($B$114:B456)):INDEX(INDIRECT("input!" &amp; $C$112 &amp; ":" &amp; $C$112),FirstRowInput+Integration*COUNT($B$114:B456)+Integration-1))*$C$110,"")</f>
        <v/>
      </c>
      <c r="D457" s="77" t="str">
        <f ca="1">IFERROR(AVERAGE(INDEX(INDIRECT("input!" &amp; $D$112 &amp; ":" &amp; $D$112),FirstRowInput+Integration*COUNT($B$114:B456)):INDEX(INDIRECT("input!" &amp; $D$112 &amp; ":" &amp; $D$112),FirstRowInput+Integration*COUNT($B$114:B456)+Integration-1))*$D$110,"")</f>
        <v/>
      </c>
      <c r="E457" s="77" t="str">
        <f ca="1">IFERROR(AVERAGE(INDEX(INDIRECT("input!" &amp; $E$112 &amp; ":" &amp; $E$112),FirstRowInput+Integration*COUNT($B$114:B456)):INDEX(INDIRECT("input!" &amp; $E$112 &amp; ":" &amp; $E$112),FirstRowInput+Integration*COUNT($B$114:B456)+Integration-1))*$E$110,"")</f>
        <v/>
      </c>
      <c r="F457" s="77" t="str">
        <f ca="1">IFERROR(AVERAGE(INDEX(INDIRECT("input!" &amp; $F$112 &amp; ":" &amp; $F$112),FirstRowInput+Integration*COUNT($B$114:B456)):INDEX(INDIRECT("input!" &amp; $F$112 &amp; ":" &amp; $F$112),FirstRowInput+Integration*COUNT($B$114:B456)+Integration-1))*$F$110,"")</f>
        <v/>
      </c>
      <c r="G457" s="77" t="str">
        <f ca="1">IFERROR(AVERAGE(INDEX(INDIRECT("input!" &amp; $G$112 &amp; ":" &amp; $G$112),FirstRowInput+Integration*COUNT($B$114:B456)):INDEX(INDIRECT("input!" &amp; $G$112 &amp; ":" &amp; $G$112),FirstRowInput+Integration*COUNT($B$114:B456)+Integration-1))*$G$110,"")</f>
        <v/>
      </c>
      <c r="H457" s="77" t="str">
        <f ca="1">IFERROR(AVERAGE(INDEX(INDIRECT("input!" &amp; $H$112 &amp; ":" &amp; $H$112),FirstRowInput+Integration*COUNT($B$114:B456)):INDEX(INDIRECT("input!" &amp; $H$112 &amp; ":" &amp; $H$112),FirstRowInput+Integration*COUNT($B$114:B456)+Integration-1))*$H$110,"")</f>
        <v/>
      </c>
      <c r="I457" s="42">
        <v>345</v>
      </c>
      <c r="J457"/>
      <c r="K457"/>
      <c r="L457"/>
      <c r="M457"/>
      <c r="N457"/>
      <c r="O457"/>
      <c r="P457"/>
      <c r="Q457"/>
      <c r="R457"/>
      <c r="S457"/>
      <c r="T457"/>
      <c r="U457"/>
      <c r="V457"/>
      <c r="W457"/>
      <c r="X457"/>
      <c r="Y457"/>
      <c r="Z457"/>
      <c r="AA457"/>
      <c r="AB457"/>
      <c r="AC457"/>
      <c r="AD457"/>
      <c r="AE457"/>
      <c r="AF457"/>
      <c r="AG457"/>
      <c r="AH457"/>
      <c r="AI457"/>
      <c r="AJ457"/>
      <c r="AK457"/>
      <c r="AL457"/>
      <c r="AM457"/>
      <c r="AN457"/>
    </row>
    <row r="458" spans="1:40" x14ac:dyDescent="0.15">
      <c r="A458" s="75">
        <f ca="1">IFERROR(IF(AND(MAX($A$114:A457)&gt;A457+1, MAX($A$114:A457)&gt;20),0,IF(AND(D458="",G458=""),0,IF(OR(D458&gt;LimitSignB10, G458&gt;LimitSignB11),A457+1,0))),"")</f>
        <v>0</v>
      </c>
      <c r="B458" s="76" t="str">
        <f ca="1">IFERROR(MyTime(INDEX(INDIRECT("input!"&amp;$B$112&amp;":"&amp;$B$112),FirstRowInput+Integration*COUNT($B$114:B457)) )* $B$110,"")</f>
        <v/>
      </c>
      <c r="C458" s="77" t="str">
        <f ca="1">IFERROR(AVERAGE(INDEX(INDIRECT("input!" &amp; $C$112 &amp; ":" &amp; $C$112),FirstRowInput+Integration*COUNT($B$114:B457)):INDEX(INDIRECT("input!" &amp; $C$112 &amp; ":" &amp; $C$112),FirstRowInput+Integration*COUNT($B$114:B457)+Integration-1))*$C$110,"")</f>
        <v/>
      </c>
      <c r="D458" s="77" t="str">
        <f ca="1">IFERROR(AVERAGE(INDEX(INDIRECT("input!" &amp; $D$112 &amp; ":" &amp; $D$112),FirstRowInput+Integration*COUNT($B$114:B457)):INDEX(INDIRECT("input!" &amp; $D$112 &amp; ":" &amp; $D$112),FirstRowInput+Integration*COUNT($B$114:B457)+Integration-1))*$D$110,"")</f>
        <v/>
      </c>
      <c r="E458" s="77" t="str">
        <f ca="1">IFERROR(AVERAGE(INDEX(INDIRECT("input!" &amp; $E$112 &amp; ":" &amp; $E$112),FirstRowInput+Integration*COUNT($B$114:B457)):INDEX(INDIRECT("input!" &amp; $E$112 &amp; ":" &amp; $E$112),FirstRowInput+Integration*COUNT($B$114:B457)+Integration-1))*$E$110,"")</f>
        <v/>
      </c>
      <c r="F458" s="77" t="str">
        <f ca="1">IFERROR(AVERAGE(INDEX(INDIRECT("input!" &amp; $F$112 &amp; ":" &amp; $F$112),FirstRowInput+Integration*COUNT($B$114:B457)):INDEX(INDIRECT("input!" &amp; $F$112 &amp; ":" &amp; $F$112),FirstRowInput+Integration*COUNT($B$114:B457)+Integration-1))*$F$110,"")</f>
        <v/>
      </c>
      <c r="G458" s="77" t="str">
        <f ca="1">IFERROR(AVERAGE(INDEX(INDIRECT("input!" &amp; $G$112 &amp; ":" &amp; $G$112),FirstRowInput+Integration*COUNT($B$114:B457)):INDEX(INDIRECT("input!" &amp; $G$112 &amp; ":" &amp; $G$112),FirstRowInput+Integration*COUNT($B$114:B457)+Integration-1))*$G$110,"")</f>
        <v/>
      </c>
      <c r="H458" s="77" t="str">
        <f ca="1">IFERROR(AVERAGE(INDEX(INDIRECT("input!" &amp; $H$112 &amp; ":" &amp; $H$112),FirstRowInput+Integration*COUNT($B$114:B457)):INDEX(INDIRECT("input!" &amp; $H$112 &amp; ":" &amp; $H$112),FirstRowInput+Integration*COUNT($B$114:B457)+Integration-1))*$H$110,"")</f>
        <v/>
      </c>
      <c r="I458" s="42">
        <v>346</v>
      </c>
      <c r="J458"/>
      <c r="K458"/>
      <c r="L458"/>
      <c r="M458"/>
      <c r="N458"/>
      <c r="O458"/>
      <c r="P458"/>
      <c r="Q458"/>
      <c r="R458"/>
      <c r="S458"/>
      <c r="T458"/>
      <c r="U458"/>
      <c r="V458"/>
      <c r="W458"/>
      <c r="X458"/>
      <c r="Y458"/>
      <c r="Z458"/>
      <c r="AA458"/>
      <c r="AB458"/>
      <c r="AC458"/>
      <c r="AD458"/>
      <c r="AE458"/>
      <c r="AF458"/>
      <c r="AG458"/>
      <c r="AH458"/>
      <c r="AI458"/>
      <c r="AJ458"/>
      <c r="AK458"/>
      <c r="AL458"/>
      <c r="AM458"/>
      <c r="AN458"/>
    </row>
    <row r="459" spans="1:40" x14ac:dyDescent="0.15">
      <c r="A459" s="75">
        <f ca="1">IFERROR(IF(AND(MAX($A$114:A458)&gt;A458+1, MAX($A$114:A458)&gt;20),0,IF(AND(D459="",G459=""),0,IF(OR(D459&gt;LimitSignB10, G459&gt;LimitSignB11),A458+1,0))),"")</f>
        <v>0</v>
      </c>
      <c r="B459" s="76" t="str">
        <f ca="1">IFERROR(MyTime(INDEX(INDIRECT("input!"&amp;$B$112&amp;":"&amp;$B$112),FirstRowInput+Integration*COUNT($B$114:B458)) )* $B$110,"")</f>
        <v/>
      </c>
      <c r="C459" s="77" t="str">
        <f ca="1">IFERROR(AVERAGE(INDEX(INDIRECT("input!" &amp; $C$112 &amp; ":" &amp; $C$112),FirstRowInput+Integration*COUNT($B$114:B458)):INDEX(INDIRECT("input!" &amp; $C$112 &amp; ":" &amp; $C$112),FirstRowInput+Integration*COUNT($B$114:B458)+Integration-1))*$C$110,"")</f>
        <v/>
      </c>
      <c r="D459" s="77" t="str">
        <f ca="1">IFERROR(AVERAGE(INDEX(INDIRECT("input!" &amp; $D$112 &amp; ":" &amp; $D$112),FirstRowInput+Integration*COUNT($B$114:B458)):INDEX(INDIRECT("input!" &amp; $D$112 &amp; ":" &amp; $D$112),FirstRowInput+Integration*COUNT($B$114:B458)+Integration-1))*$D$110,"")</f>
        <v/>
      </c>
      <c r="E459" s="77" t="str">
        <f ca="1">IFERROR(AVERAGE(INDEX(INDIRECT("input!" &amp; $E$112 &amp; ":" &amp; $E$112),FirstRowInput+Integration*COUNT($B$114:B458)):INDEX(INDIRECT("input!" &amp; $E$112 &amp; ":" &amp; $E$112),FirstRowInput+Integration*COUNT($B$114:B458)+Integration-1))*$E$110,"")</f>
        <v/>
      </c>
      <c r="F459" s="77" t="str">
        <f ca="1">IFERROR(AVERAGE(INDEX(INDIRECT("input!" &amp; $F$112 &amp; ":" &amp; $F$112),FirstRowInput+Integration*COUNT($B$114:B458)):INDEX(INDIRECT("input!" &amp; $F$112 &amp; ":" &amp; $F$112),FirstRowInput+Integration*COUNT($B$114:B458)+Integration-1))*$F$110,"")</f>
        <v/>
      </c>
      <c r="G459" s="77" t="str">
        <f ca="1">IFERROR(AVERAGE(INDEX(INDIRECT("input!" &amp; $G$112 &amp; ":" &amp; $G$112),FirstRowInput+Integration*COUNT($B$114:B458)):INDEX(INDIRECT("input!" &amp; $G$112 &amp; ":" &amp; $G$112),FirstRowInput+Integration*COUNT($B$114:B458)+Integration-1))*$G$110,"")</f>
        <v/>
      </c>
      <c r="H459" s="77" t="str">
        <f ca="1">IFERROR(AVERAGE(INDEX(INDIRECT("input!" &amp; $H$112 &amp; ":" &amp; $H$112),FirstRowInput+Integration*COUNT($B$114:B458)):INDEX(INDIRECT("input!" &amp; $H$112 &amp; ":" &amp; $H$112),FirstRowInput+Integration*COUNT($B$114:B458)+Integration-1))*$H$110,"")</f>
        <v/>
      </c>
      <c r="I459" s="42">
        <v>347</v>
      </c>
      <c r="J459"/>
      <c r="K459"/>
      <c r="L459"/>
      <c r="M459"/>
      <c r="N459"/>
      <c r="O459"/>
      <c r="P459"/>
      <c r="Q459"/>
      <c r="R459"/>
      <c r="S459"/>
      <c r="T459"/>
      <c r="U459"/>
      <c r="V459"/>
      <c r="W459"/>
      <c r="X459"/>
      <c r="Y459"/>
      <c r="Z459"/>
      <c r="AA459"/>
      <c r="AB459"/>
      <c r="AC459"/>
      <c r="AD459"/>
      <c r="AE459"/>
      <c r="AF459"/>
      <c r="AG459"/>
      <c r="AH459"/>
      <c r="AI459"/>
      <c r="AJ459"/>
      <c r="AK459"/>
      <c r="AL459"/>
      <c r="AM459"/>
      <c r="AN459"/>
    </row>
    <row r="460" spans="1:40" x14ac:dyDescent="0.15">
      <c r="A460" s="75">
        <f ca="1">IFERROR(IF(AND(MAX($A$114:A459)&gt;A459+1, MAX($A$114:A459)&gt;20),0,IF(AND(D460="",G460=""),0,IF(OR(D460&gt;LimitSignB10, G460&gt;LimitSignB11),A459+1,0))),"")</f>
        <v>0</v>
      </c>
      <c r="B460" s="76" t="str">
        <f ca="1">IFERROR(MyTime(INDEX(INDIRECT("input!"&amp;$B$112&amp;":"&amp;$B$112),FirstRowInput+Integration*COUNT($B$114:B459)) )* $B$110,"")</f>
        <v/>
      </c>
      <c r="C460" s="77" t="str">
        <f ca="1">IFERROR(AVERAGE(INDEX(INDIRECT("input!" &amp; $C$112 &amp; ":" &amp; $C$112),FirstRowInput+Integration*COUNT($B$114:B459)):INDEX(INDIRECT("input!" &amp; $C$112 &amp; ":" &amp; $C$112),FirstRowInput+Integration*COUNT($B$114:B459)+Integration-1))*$C$110,"")</f>
        <v/>
      </c>
      <c r="D460" s="77" t="str">
        <f ca="1">IFERROR(AVERAGE(INDEX(INDIRECT("input!" &amp; $D$112 &amp; ":" &amp; $D$112),FirstRowInput+Integration*COUNT($B$114:B459)):INDEX(INDIRECT("input!" &amp; $D$112 &amp; ":" &amp; $D$112),FirstRowInput+Integration*COUNT($B$114:B459)+Integration-1))*$D$110,"")</f>
        <v/>
      </c>
      <c r="E460" s="77" t="str">
        <f ca="1">IFERROR(AVERAGE(INDEX(INDIRECT("input!" &amp; $E$112 &amp; ":" &amp; $E$112),FirstRowInput+Integration*COUNT($B$114:B459)):INDEX(INDIRECT("input!" &amp; $E$112 &amp; ":" &amp; $E$112),FirstRowInput+Integration*COUNT($B$114:B459)+Integration-1))*$E$110,"")</f>
        <v/>
      </c>
      <c r="F460" s="77" t="str">
        <f ca="1">IFERROR(AVERAGE(INDEX(INDIRECT("input!" &amp; $F$112 &amp; ":" &amp; $F$112),FirstRowInput+Integration*COUNT($B$114:B459)):INDEX(INDIRECT("input!" &amp; $F$112 &amp; ":" &amp; $F$112),FirstRowInput+Integration*COUNT($B$114:B459)+Integration-1))*$F$110,"")</f>
        <v/>
      </c>
      <c r="G460" s="77" t="str">
        <f ca="1">IFERROR(AVERAGE(INDEX(INDIRECT("input!" &amp; $G$112 &amp; ":" &amp; $G$112),FirstRowInput+Integration*COUNT($B$114:B459)):INDEX(INDIRECT("input!" &amp; $G$112 &amp; ":" &amp; $G$112),FirstRowInput+Integration*COUNT($B$114:B459)+Integration-1))*$G$110,"")</f>
        <v/>
      </c>
      <c r="H460" s="77" t="str">
        <f ca="1">IFERROR(AVERAGE(INDEX(INDIRECT("input!" &amp; $H$112 &amp; ":" &amp; $H$112),FirstRowInput+Integration*COUNT($B$114:B459)):INDEX(INDIRECT("input!" &amp; $H$112 &amp; ":" &amp; $H$112),FirstRowInput+Integration*COUNT($B$114:B459)+Integration-1))*$H$110,"")</f>
        <v/>
      </c>
      <c r="I460" s="42">
        <v>348</v>
      </c>
      <c r="J460"/>
      <c r="K460"/>
      <c r="L460"/>
      <c r="M460"/>
      <c r="N460"/>
      <c r="O460"/>
      <c r="P460"/>
      <c r="Q460"/>
      <c r="R460"/>
      <c r="S460"/>
      <c r="T460"/>
      <c r="U460"/>
      <c r="V460"/>
      <c r="W460"/>
      <c r="X460"/>
      <c r="Y460"/>
      <c r="Z460"/>
      <c r="AA460"/>
      <c r="AB460"/>
      <c r="AC460"/>
      <c r="AD460"/>
      <c r="AE460"/>
      <c r="AF460"/>
      <c r="AG460"/>
      <c r="AH460"/>
      <c r="AI460"/>
      <c r="AJ460"/>
      <c r="AK460"/>
      <c r="AL460"/>
      <c r="AM460"/>
      <c r="AN460"/>
    </row>
    <row r="461" spans="1:40" x14ac:dyDescent="0.15">
      <c r="A461" s="75">
        <f ca="1">IFERROR(IF(AND(MAX($A$114:A460)&gt;A460+1, MAX($A$114:A460)&gt;20),0,IF(AND(D461="",G461=""),0,IF(OR(D461&gt;LimitSignB10, G461&gt;LimitSignB11),A460+1,0))),"")</f>
        <v>0</v>
      </c>
      <c r="B461" s="76" t="str">
        <f ca="1">IFERROR(MyTime(INDEX(INDIRECT("input!"&amp;$B$112&amp;":"&amp;$B$112),FirstRowInput+Integration*COUNT($B$114:B460)) )* $B$110,"")</f>
        <v/>
      </c>
      <c r="C461" s="77" t="str">
        <f ca="1">IFERROR(AVERAGE(INDEX(INDIRECT("input!" &amp; $C$112 &amp; ":" &amp; $C$112),FirstRowInput+Integration*COUNT($B$114:B460)):INDEX(INDIRECT("input!" &amp; $C$112 &amp; ":" &amp; $C$112),FirstRowInput+Integration*COUNT($B$114:B460)+Integration-1))*$C$110,"")</f>
        <v/>
      </c>
      <c r="D461" s="77" t="str">
        <f ca="1">IFERROR(AVERAGE(INDEX(INDIRECT("input!" &amp; $D$112 &amp; ":" &amp; $D$112),FirstRowInput+Integration*COUNT($B$114:B460)):INDEX(INDIRECT("input!" &amp; $D$112 &amp; ":" &amp; $D$112),FirstRowInput+Integration*COUNT($B$114:B460)+Integration-1))*$D$110,"")</f>
        <v/>
      </c>
      <c r="E461" s="77" t="str">
        <f ca="1">IFERROR(AVERAGE(INDEX(INDIRECT("input!" &amp; $E$112 &amp; ":" &amp; $E$112),FirstRowInput+Integration*COUNT($B$114:B460)):INDEX(INDIRECT("input!" &amp; $E$112 &amp; ":" &amp; $E$112),FirstRowInput+Integration*COUNT($B$114:B460)+Integration-1))*$E$110,"")</f>
        <v/>
      </c>
      <c r="F461" s="77" t="str">
        <f ca="1">IFERROR(AVERAGE(INDEX(INDIRECT("input!" &amp; $F$112 &amp; ":" &amp; $F$112),FirstRowInput+Integration*COUNT($B$114:B460)):INDEX(INDIRECT("input!" &amp; $F$112 &amp; ":" &amp; $F$112),FirstRowInput+Integration*COUNT($B$114:B460)+Integration-1))*$F$110,"")</f>
        <v/>
      </c>
      <c r="G461" s="77" t="str">
        <f ca="1">IFERROR(AVERAGE(INDEX(INDIRECT("input!" &amp; $G$112 &amp; ":" &amp; $G$112),FirstRowInput+Integration*COUNT($B$114:B460)):INDEX(INDIRECT("input!" &amp; $G$112 &amp; ":" &amp; $G$112),FirstRowInput+Integration*COUNT($B$114:B460)+Integration-1))*$G$110,"")</f>
        <v/>
      </c>
      <c r="H461" s="77" t="str">
        <f ca="1">IFERROR(AVERAGE(INDEX(INDIRECT("input!" &amp; $H$112 &amp; ":" &amp; $H$112),FirstRowInput+Integration*COUNT($B$114:B460)):INDEX(INDIRECT("input!" &amp; $H$112 &amp; ":" &amp; $H$112),FirstRowInput+Integration*COUNT($B$114:B460)+Integration-1))*$H$110,"")</f>
        <v/>
      </c>
      <c r="I461" s="42">
        <v>349</v>
      </c>
      <c r="J461"/>
      <c r="K461"/>
      <c r="L461"/>
      <c r="M461"/>
      <c r="N461"/>
      <c r="O461"/>
      <c r="P461"/>
      <c r="Q461"/>
      <c r="R461"/>
      <c r="S461"/>
      <c r="T461"/>
      <c r="U461"/>
      <c r="V461"/>
      <c r="W461"/>
      <c r="X461"/>
      <c r="Y461"/>
      <c r="Z461"/>
      <c r="AA461"/>
      <c r="AB461"/>
      <c r="AC461"/>
      <c r="AD461"/>
      <c r="AE461"/>
      <c r="AF461"/>
      <c r="AG461"/>
      <c r="AH461"/>
      <c r="AI461"/>
      <c r="AJ461"/>
      <c r="AK461"/>
      <c r="AL461"/>
      <c r="AM461"/>
      <c r="AN461"/>
    </row>
    <row r="462" spans="1:40" x14ac:dyDescent="0.15">
      <c r="A462" s="75">
        <f ca="1">IFERROR(IF(AND(MAX($A$114:A461)&gt;A461+1, MAX($A$114:A461)&gt;20),0,IF(AND(D462="",G462=""),0,IF(OR(D462&gt;LimitSignB10, G462&gt;LimitSignB11),A461+1,0))),"")</f>
        <v>0</v>
      </c>
      <c r="B462" s="76" t="str">
        <f ca="1">IFERROR(MyTime(INDEX(INDIRECT("input!"&amp;$B$112&amp;":"&amp;$B$112),FirstRowInput+Integration*COUNT($B$114:B461)) )* $B$110,"")</f>
        <v/>
      </c>
      <c r="C462" s="77" t="str">
        <f ca="1">IFERROR(AVERAGE(INDEX(INDIRECT("input!" &amp; $C$112 &amp; ":" &amp; $C$112),FirstRowInput+Integration*COUNT($B$114:B461)):INDEX(INDIRECT("input!" &amp; $C$112 &amp; ":" &amp; $C$112),FirstRowInput+Integration*COUNT($B$114:B461)+Integration-1))*$C$110,"")</f>
        <v/>
      </c>
      <c r="D462" s="77" t="str">
        <f ca="1">IFERROR(AVERAGE(INDEX(INDIRECT("input!" &amp; $D$112 &amp; ":" &amp; $D$112),FirstRowInput+Integration*COUNT($B$114:B461)):INDEX(INDIRECT("input!" &amp; $D$112 &amp; ":" &amp; $D$112),FirstRowInput+Integration*COUNT($B$114:B461)+Integration-1))*$D$110,"")</f>
        <v/>
      </c>
      <c r="E462" s="77" t="str">
        <f ca="1">IFERROR(AVERAGE(INDEX(INDIRECT("input!" &amp; $E$112 &amp; ":" &amp; $E$112),FirstRowInput+Integration*COUNT($B$114:B461)):INDEX(INDIRECT("input!" &amp; $E$112 &amp; ":" &amp; $E$112),FirstRowInput+Integration*COUNT($B$114:B461)+Integration-1))*$E$110,"")</f>
        <v/>
      </c>
      <c r="F462" s="77" t="str">
        <f ca="1">IFERROR(AVERAGE(INDEX(INDIRECT("input!" &amp; $F$112 &amp; ":" &amp; $F$112),FirstRowInput+Integration*COUNT($B$114:B461)):INDEX(INDIRECT("input!" &amp; $F$112 &amp; ":" &amp; $F$112),FirstRowInput+Integration*COUNT($B$114:B461)+Integration-1))*$F$110,"")</f>
        <v/>
      </c>
      <c r="G462" s="77" t="str">
        <f ca="1">IFERROR(AVERAGE(INDEX(INDIRECT("input!" &amp; $G$112 &amp; ":" &amp; $G$112),FirstRowInput+Integration*COUNT($B$114:B461)):INDEX(INDIRECT("input!" &amp; $G$112 &amp; ":" &amp; $G$112),FirstRowInput+Integration*COUNT($B$114:B461)+Integration-1))*$G$110,"")</f>
        <v/>
      </c>
      <c r="H462" s="77" t="str">
        <f ca="1">IFERROR(AVERAGE(INDEX(INDIRECT("input!" &amp; $H$112 &amp; ":" &amp; $H$112),FirstRowInput+Integration*COUNT($B$114:B461)):INDEX(INDIRECT("input!" &amp; $H$112 &amp; ":" &amp; $H$112),FirstRowInput+Integration*COUNT($B$114:B461)+Integration-1))*$H$110,"")</f>
        <v/>
      </c>
      <c r="I462" s="42">
        <v>350</v>
      </c>
      <c r="J462"/>
      <c r="K462"/>
      <c r="L462"/>
      <c r="M462"/>
      <c r="N462"/>
      <c r="O462"/>
      <c r="P462"/>
      <c r="Q462"/>
      <c r="R462"/>
      <c r="S462"/>
      <c r="T462"/>
      <c r="U462"/>
      <c r="V462"/>
      <c r="W462"/>
      <c r="X462"/>
      <c r="Y462"/>
      <c r="Z462"/>
      <c r="AA462"/>
      <c r="AB462"/>
      <c r="AC462"/>
      <c r="AD462"/>
      <c r="AE462"/>
      <c r="AF462"/>
      <c r="AG462"/>
      <c r="AH462"/>
      <c r="AI462"/>
      <c r="AJ462"/>
      <c r="AK462"/>
      <c r="AL462"/>
      <c r="AM462"/>
      <c r="AN462"/>
    </row>
    <row r="463" spans="1:40" x14ac:dyDescent="0.15">
      <c r="A463" s="75">
        <f ca="1">IFERROR(IF(AND(MAX($A$114:A462)&gt;A462+1, MAX($A$114:A462)&gt;20),0,IF(AND(D463="",G463=""),0,IF(OR(D463&gt;LimitSignB10, G463&gt;LimitSignB11),A462+1,0))),"")</f>
        <v>0</v>
      </c>
      <c r="B463" s="76" t="str">
        <f ca="1">IFERROR(MyTime(INDEX(INDIRECT("input!"&amp;$B$112&amp;":"&amp;$B$112),FirstRowInput+Integration*COUNT($B$114:B462)) )* $B$110,"")</f>
        <v/>
      </c>
      <c r="C463" s="77" t="str">
        <f ca="1">IFERROR(AVERAGE(INDEX(INDIRECT("input!" &amp; $C$112 &amp; ":" &amp; $C$112),FirstRowInput+Integration*COUNT($B$114:B462)):INDEX(INDIRECT("input!" &amp; $C$112 &amp; ":" &amp; $C$112),FirstRowInput+Integration*COUNT($B$114:B462)+Integration-1))*$C$110,"")</f>
        <v/>
      </c>
      <c r="D463" s="77" t="str">
        <f ca="1">IFERROR(AVERAGE(INDEX(INDIRECT("input!" &amp; $D$112 &amp; ":" &amp; $D$112),FirstRowInput+Integration*COUNT($B$114:B462)):INDEX(INDIRECT("input!" &amp; $D$112 &amp; ":" &amp; $D$112),FirstRowInput+Integration*COUNT($B$114:B462)+Integration-1))*$D$110,"")</f>
        <v/>
      </c>
      <c r="E463" s="77" t="str">
        <f ca="1">IFERROR(AVERAGE(INDEX(INDIRECT("input!" &amp; $E$112 &amp; ":" &amp; $E$112),FirstRowInput+Integration*COUNT($B$114:B462)):INDEX(INDIRECT("input!" &amp; $E$112 &amp; ":" &amp; $E$112),FirstRowInput+Integration*COUNT($B$114:B462)+Integration-1))*$E$110,"")</f>
        <v/>
      </c>
      <c r="F463" s="77" t="str">
        <f ca="1">IFERROR(AVERAGE(INDEX(INDIRECT("input!" &amp; $F$112 &amp; ":" &amp; $F$112),FirstRowInput+Integration*COUNT($B$114:B462)):INDEX(INDIRECT("input!" &amp; $F$112 &amp; ":" &amp; $F$112),FirstRowInput+Integration*COUNT($B$114:B462)+Integration-1))*$F$110,"")</f>
        <v/>
      </c>
      <c r="G463" s="77" t="str">
        <f ca="1">IFERROR(AVERAGE(INDEX(INDIRECT("input!" &amp; $G$112 &amp; ":" &amp; $G$112),FirstRowInput+Integration*COUNT($B$114:B462)):INDEX(INDIRECT("input!" &amp; $G$112 &amp; ":" &amp; $G$112),FirstRowInput+Integration*COUNT($B$114:B462)+Integration-1))*$G$110,"")</f>
        <v/>
      </c>
      <c r="H463" s="77" t="str">
        <f ca="1">IFERROR(AVERAGE(INDEX(INDIRECT("input!" &amp; $H$112 &amp; ":" &amp; $H$112),FirstRowInput+Integration*COUNT($B$114:B462)):INDEX(INDIRECT("input!" &amp; $H$112 &amp; ":" &amp; $H$112),FirstRowInput+Integration*COUNT($B$114:B462)+Integration-1))*$H$110,"")</f>
        <v/>
      </c>
      <c r="I463" s="42">
        <v>351</v>
      </c>
      <c r="J463"/>
      <c r="K463"/>
      <c r="L463"/>
      <c r="M463"/>
      <c r="N463"/>
      <c r="O463"/>
      <c r="P463"/>
      <c r="Q463"/>
      <c r="R463"/>
      <c r="S463"/>
      <c r="T463"/>
      <c r="U463"/>
      <c r="V463"/>
      <c r="W463"/>
      <c r="X463"/>
      <c r="Y463"/>
      <c r="Z463"/>
      <c r="AA463"/>
      <c r="AB463"/>
      <c r="AC463"/>
      <c r="AD463"/>
      <c r="AE463"/>
      <c r="AF463"/>
      <c r="AG463"/>
      <c r="AH463"/>
      <c r="AI463"/>
      <c r="AJ463"/>
      <c r="AK463"/>
      <c r="AL463"/>
      <c r="AM463"/>
      <c r="AN463"/>
    </row>
    <row r="464" spans="1:40" x14ac:dyDescent="0.15">
      <c r="A464" s="75">
        <f ca="1">IFERROR(IF(AND(MAX($A$114:A463)&gt;A463+1, MAX($A$114:A463)&gt;20),0,IF(AND(D464="",G464=""),0,IF(OR(D464&gt;LimitSignB10, G464&gt;LimitSignB11),A463+1,0))),"")</f>
        <v>0</v>
      </c>
      <c r="B464" s="76" t="str">
        <f ca="1">IFERROR(MyTime(INDEX(INDIRECT("input!"&amp;$B$112&amp;":"&amp;$B$112),FirstRowInput+Integration*COUNT($B$114:B463)) )* $B$110,"")</f>
        <v/>
      </c>
      <c r="C464" s="77" t="str">
        <f ca="1">IFERROR(AVERAGE(INDEX(INDIRECT("input!" &amp; $C$112 &amp; ":" &amp; $C$112),FirstRowInput+Integration*COUNT($B$114:B463)):INDEX(INDIRECT("input!" &amp; $C$112 &amp; ":" &amp; $C$112),FirstRowInput+Integration*COUNT($B$114:B463)+Integration-1))*$C$110,"")</f>
        <v/>
      </c>
      <c r="D464" s="77" t="str">
        <f ca="1">IFERROR(AVERAGE(INDEX(INDIRECT("input!" &amp; $D$112 &amp; ":" &amp; $D$112),FirstRowInput+Integration*COUNT($B$114:B463)):INDEX(INDIRECT("input!" &amp; $D$112 &amp; ":" &amp; $D$112),FirstRowInput+Integration*COUNT($B$114:B463)+Integration-1))*$D$110,"")</f>
        <v/>
      </c>
      <c r="E464" s="77" t="str">
        <f ca="1">IFERROR(AVERAGE(INDEX(INDIRECT("input!" &amp; $E$112 &amp; ":" &amp; $E$112),FirstRowInput+Integration*COUNT($B$114:B463)):INDEX(INDIRECT("input!" &amp; $E$112 &amp; ":" &amp; $E$112),FirstRowInput+Integration*COUNT($B$114:B463)+Integration-1))*$E$110,"")</f>
        <v/>
      </c>
      <c r="F464" s="77" t="str">
        <f ca="1">IFERROR(AVERAGE(INDEX(INDIRECT("input!" &amp; $F$112 &amp; ":" &amp; $F$112),FirstRowInput+Integration*COUNT($B$114:B463)):INDEX(INDIRECT("input!" &amp; $F$112 &amp; ":" &amp; $F$112),FirstRowInput+Integration*COUNT($B$114:B463)+Integration-1))*$F$110,"")</f>
        <v/>
      </c>
      <c r="G464" s="77" t="str">
        <f ca="1">IFERROR(AVERAGE(INDEX(INDIRECT("input!" &amp; $G$112 &amp; ":" &amp; $G$112),FirstRowInput+Integration*COUNT($B$114:B463)):INDEX(INDIRECT("input!" &amp; $G$112 &amp; ":" &amp; $G$112),FirstRowInput+Integration*COUNT($B$114:B463)+Integration-1))*$G$110,"")</f>
        <v/>
      </c>
      <c r="H464" s="77" t="str">
        <f ca="1">IFERROR(AVERAGE(INDEX(INDIRECT("input!" &amp; $H$112 &amp; ":" &amp; $H$112),FirstRowInput+Integration*COUNT($B$114:B463)):INDEX(INDIRECT("input!" &amp; $H$112 &amp; ":" &amp; $H$112),FirstRowInput+Integration*COUNT($B$114:B463)+Integration-1))*$H$110,"")</f>
        <v/>
      </c>
      <c r="I464" s="42">
        <v>352</v>
      </c>
      <c r="J464"/>
      <c r="K464"/>
      <c r="L464"/>
      <c r="M464"/>
      <c r="N464"/>
      <c r="O464"/>
      <c r="P464"/>
      <c r="Q464"/>
      <c r="R464"/>
      <c r="S464"/>
      <c r="T464"/>
      <c r="U464"/>
      <c r="V464"/>
      <c r="W464"/>
      <c r="X464"/>
      <c r="Y464"/>
      <c r="Z464"/>
      <c r="AA464"/>
      <c r="AB464"/>
      <c r="AC464"/>
      <c r="AD464"/>
      <c r="AE464"/>
      <c r="AF464"/>
      <c r="AG464"/>
      <c r="AH464"/>
      <c r="AI464"/>
      <c r="AJ464"/>
      <c r="AK464"/>
      <c r="AL464"/>
      <c r="AM464"/>
      <c r="AN464"/>
    </row>
    <row r="465" spans="1:40" x14ac:dyDescent="0.15">
      <c r="A465" s="75">
        <f ca="1">IFERROR(IF(AND(MAX($A$114:A464)&gt;A464+1, MAX($A$114:A464)&gt;20),0,IF(AND(D465="",G465=""),0,IF(OR(D465&gt;LimitSignB10, G465&gt;LimitSignB11),A464+1,0))),"")</f>
        <v>0</v>
      </c>
      <c r="B465" s="76" t="str">
        <f ca="1">IFERROR(MyTime(INDEX(INDIRECT("input!"&amp;$B$112&amp;":"&amp;$B$112),FirstRowInput+Integration*COUNT($B$114:B464)) )* $B$110,"")</f>
        <v/>
      </c>
      <c r="C465" s="77" t="str">
        <f ca="1">IFERROR(AVERAGE(INDEX(INDIRECT("input!" &amp; $C$112 &amp; ":" &amp; $C$112),FirstRowInput+Integration*COUNT($B$114:B464)):INDEX(INDIRECT("input!" &amp; $C$112 &amp; ":" &amp; $C$112),FirstRowInput+Integration*COUNT($B$114:B464)+Integration-1))*$C$110,"")</f>
        <v/>
      </c>
      <c r="D465" s="77" t="str">
        <f ca="1">IFERROR(AVERAGE(INDEX(INDIRECT("input!" &amp; $D$112 &amp; ":" &amp; $D$112),FirstRowInput+Integration*COUNT($B$114:B464)):INDEX(INDIRECT("input!" &amp; $D$112 &amp; ":" &amp; $D$112),FirstRowInput+Integration*COUNT($B$114:B464)+Integration-1))*$D$110,"")</f>
        <v/>
      </c>
      <c r="E465" s="77" t="str">
        <f ca="1">IFERROR(AVERAGE(INDEX(INDIRECT("input!" &amp; $E$112 &amp; ":" &amp; $E$112),FirstRowInput+Integration*COUNT($B$114:B464)):INDEX(INDIRECT("input!" &amp; $E$112 &amp; ":" &amp; $E$112),FirstRowInput+Integration*COUNT($B$114:B464)+Integration-1))*$E$110,"")</f>
        <v/>
      </c>
      <c r="F465" s="77" t="str">
        <f ca="1">IFERROR(AVERAGE(INDEX(INDIRECT("input!" &amp; $F$112 &amp; ":" &amp; $F$112),FirstRowInput+Integration*COUNT($B$114:B464)):INDEX(INDIRECT("input!" &amp; $F$112 &amp; ":" &amp; $F$112),FirstRowInput+Integration*COUNT($B$114:B464)+Integration-1))*$F$110,"")</f>
        <v/>
      </c>
      <c r="G465" s="77" t="str">
        <f ca="1">IFERROR(AVERAGE(INDEX(INDIRECT("input!" &amp; $G$112 &amp; ":" &amp; $G$112),FirstRowInput+Integration*COUNT($B$114:B464)):INDEX(INDIRECT("input!" &amp; $G$112 &amp; ":" &amp; $G$112),FirstRowInput+Integration*COUNT($B$114:B464)+Integration-1))*$G$110,"")</f>
        <v/>
      </c>
      <c r="H465" s="77" t="str">
        <f ca="1">IFERROR(AVERAGE(INDEX(INDIRECT("input!" &amp; $H$112 &amp; ":" &amp; $H$112),FirstRowInput+Integration*COUNT($B$114:B464)):INDEX(INDIRECT("input!" &amp; $H$112 &amp; ":" &amp; $H$112),FirstRowInput+Integration*COUNT($B$114:B464)+Integration-1))*$H$110,"")</f>
        <v/>
      </c>
      <c r="I465" s="42">
        <v>353</v>
      </c>
      <c r="J465"/>
      <c r="K465"/>
      <c r="L465"/>
      <c r="M465"/>
      <c r="N465"/>
      <c r="O465"/>
      <c r="P465"/>
      <c r="Q465"/>
      <c r="R465"/>
      <c r="S465"/>
      <c r="T465"/>
      <c r="U465"/>
      <c r="V465"/>
      <c r="W465"/>
      <c r="X465"/>
      <c r="Y465"/>
      <c r="Z465"/>
      <c r="AA465"/>
      <c r="AB465"/>
      <c r="AC465"/>
      <c r="AD465"/>
      <c r="AE465"/>
      <c r="AF465"/>
      <c r="AG465"/>
      <c r="AH465"/>
      <c r="AI465"/>
      <c r="AJ465"/>
      <c r="AK465"/>
      <c r="AL465"/>
      <c r="AM465"/>
      <c r="AN465"/>
    </row>
    <row r="466" spans="1:40" x14ac:dyDescent="0.15">
      <c r="A466" s="75">
        <f ca="1">IFERROR(IF(AND(MAX($A$114:A465)&gt;A465+1, MAX($A$114:A465)&gt;20),0,IF(AND(D466="",G466=""),0,IF(OR(D466&gt;LimitSignB10, G466&gt;LimitSignB11),A465+1,0))),"")</f>
        <v>0</v>
      </c>
      <c r="B466" s="76" t="str">
        <f ca="1">IFERROR(MyTime(INDEX(INDIRECT("input!"&amp;$B$112&amp;":"&amp;$B$112),FirstRowInput+Integration*COUNT($B$114:B465)) )* $B$110,"")</f>
        <v/>
      </c>
      <c r="C466" s="77" t="str">
        <f ca="1">IFERROR(AVERAGE(INDEX(INDIRECT("input!" &amp; $C$112 &amp; ":" &amp; $C$112),FirstRowInput+Integration*COUNT($B$114:B465)):INDEX(INDIRECT("input!" &amp; $C$112 &amp; ":" &amp; $C$112),FirstRowInput+Integration*COUNT($B$114:B465)+Integration-1))*$C$110,"")</f>
        <v/>
      </c>
      <c r="D466" s="77" t="str">
        <f ca="1">IFERROR(AVERAGE(INDEX(INDIRECT("input!" &amp; $D$112 &amp; ":" &amp; $D$112),FirstRowInput+Integration*COUNT($B$114:B465)):INDEX(INDIRECT("input!" &amp; $D$112 &amp; ":" &amp; $D$112),FirstRowInput+Integration*COUNT($B$114:B465)+Integration-1))*$D$110,"")</f>
        <v/>
      </c>
      <c r="E466" s="77" t="str">
        <f ca="1">IFERROR(AVERAGE(INDEX(INDIRECT("input!" &amp; $E$112 &amp; ":" &amp; $E$112),FirstRowInput+Integration*COUNT($B$114:B465)):INDEX(INDIRECT("input!" &amp; $E$112 &amp; ":" &amp; $E$112),FirstRowInput+Integration*COUNT($B$114:B465)+Integration-1))*$E$110,"")</f>
        <v/>
      </c>
      <c r="F466" s="77" t="str">
        <f ca="1">IFERROR(AVERAGE(INDEX(INDIRECT("input!" &amp; $F$112 &amp; ":" &amp; $F$112),FirstRowInput+Integration*COUNT($B$114:B465)):INDEX(INDIRECT("input!" &amp; $F$112 &amp; ":" &amp; $F$112),FirstRowInput+Integration*COUNT($B$114:B465)+Integration-1))*$F$110,"")</f>
        <v/>
      </c>
      <c r="G466" s="77" t="str">
        <f ca="1">IFERROR(AVERAGE(INDEX(INDIRECT("input!" &amp; $G$112 &amp; ":" &amp; $G$112),FirstRowInput+Integration*COUNT($B$114:B465)):INDEX(INDIRECT("input!" &amp; $G$112 &amp; ":" &amp; $G$112),FirstRowInput+Integration*COUNT($B$114:B465)+Integration-1))*$G$110,"")</f>
        <v/>
      </c>
      <c r="H466" s="77" t="str">
        <f ca="1">IFERROR(AVERAGE(INDEX(INDIRECT("input!" &amp; $H$112 &amp; ":" &amp; $H$112),FirstRowInput+Integration*COUNT($B$114:B465)):INDEX(INDIRECT("input!" &amp; $H$112 &amp; ":" &amp; $H$112),FirstRowInput+Integration*COUNT($B$114:B465)+Integration-1))*$H$110,"")</f>
        <v/>
      </c>
      <c r="I466" s="42">
        <v>354</v>
      </c>
      <c r="J466"/>
      <c r="K466"/>
      <c r="L466"/>
      <c r="M466"/>
      <c r="N466"/>
      <c r="O466"/>
      <c r="P466"/>
      <c r="Q466"/>
      <c r="R466"/>
      <c r="S466"/>
      <c r="T466"/>
      <c r="U466"/>
      <c r="V466"/>
      <c r="W466"/>
      <c r="X466"/>
      <c r="Y466"/>
      <c r="Z466"/>
      <c r="AA466"/>
      <c r="AB466"/>
      <c r="AC466"/>
      <c r="AD466"/>
      <c r="AE466"/>
      <c r="AF466"/>
      <c r="AG466"/>
      <c r="AH466"/>
      <c r="AI466"/>
      <c r="AJ466"/>
      <c r="AK466"/>
      <c r="AL466"/>
      <c r="AM466"/>
      <c r="AN466"/>
    </row>
    <row r="467" spans="1:40" x14ac:dyDescent="0.15">
      <c r="A467" s="75">
        <f ca="1">IFERROR(IF(AND(MAX($A$114:A466)&gt;A466+1, MAX($A$114:A466)&gt;20),0,IF(AND(D467="",G467=""),0,IF(OR(D467&gt;LimitSignB10, G467&gt;LimitSignB11),A466+1,0))),"")</f>
        <v>0</v>
      </c>
      <c r="B467" s="76" t="str">
        <f ca="1">IFERROR(MyTime(INDEX(INDIRECT("input!"&amp;$B$112&amp;":"&amp;$B$112),FirstRowInput+Integration*COUNT($B$114:B466)) )* $B$110,"")</f>
        <v/>
      </c>
      <c r="C467" s="77" t="str">
        <f ca="1">IFERROR(AVERAGE(INDEX(INDIRECT("input!" &amp; $C$112 &amp; ":" &amp; $C$112),FirstRowInput+Integration*COUNT($B$114:B466)):INDEX(INDIRECT("input!" &amp; $C$112 &amp; ":" &amp; $C$112),FirstRowInput+Integration*COUNT($B$114:B466)+Integration-1))*$C$110,"")</f>
        <v/>
      </c>
      <c r="D467" s="77" t="str">
        <f ca="1">IFERROR(AVERAGE(INDEX(INDIRECT("input!" &amp; $D$112 &amp; ":" &amp; $D$112),FirstRowInput+Integration*COUNT($B$114:B466)):INDEX(INDIRECT("input!" &amp; $D$112 &amp; ":" &amp; $D$112),FirstRowInput+Integration*COUNT($B$114:B466)+Integration-1))*$D$110,"")</f>
        <v/>
      </c>
      <c r="E467" s="77" t="str">
        <f ca="1">IFERROR(AVERAGE(INDEX(INDIRECT("input!" &amp; $E$112 &amp; ":" &amp; $E$112),FirstRowInput+Integration*COUNT($B$114:B466)):INDEX(INDIRECT("input!" &amp; $E$112 &amp; ":" &amp; $E$112),FirstRowInput+Integration*COUNT($B$114:B466)+Integration-1))*$E$110,"")</f>
        <v/>
      </c>
      <c r="F467" s="77" t="str">
        <f ca="1">IFERROR(AVERAGE(INDEX(INDIRECT("input!" &amp; $F$112 &amp; ":" &amp; $F$112),FirstRowInput+Integration*COUNT($B$114:B466)):INDEX(INDIRECT("input!" &amp; $F$112 &amp; ":" &amp; $F$112),FirstRowInput+Integration*COUNT($B$114:B466)+Integration-1))*$F$110,"")</f>
        <v/>
      </c>
      <c r="G467" s="77" t="str">
        <f ca="1">IFERROR(AVERAGE(INDEX(INDIRECT("input!" &amp; $G$112 &amp; ":" &amp; $G$112),FirstRowInput+Integration*COUNT($B$114:B466)):INDEX(INDIRECT("input!" &amp; $G$112 &amp; ":" &amp; $G$112),FirstRowInput+Integration*COUNT($B$114:B466)+Integration-1))*$G$110,"")</f>
        <v/>
      </c>
      <c r="H467" s="77" t="str">
        <f ca="1">IFERROR(AVERAGE(INDEX(INDIRECT("input!" &amp; $H$112 &amp; ":" &amp; $H$112),FirstRowInput+Integration*COUNT($B$114:B466)):INDEX(INDIRECT("input!" &amp; $H$112 &amp; ":" &amp; $H$112),FirstRowInput+Integration*COUNT($B$114:B466)+Integration-1))*$H$110,"")</f>
        <v/>
      </c>
      <c r="I467" s="42">
        <v>355</v>
      </c>
      <c r="J467"/>
      <c r="K467"/>
      <c r="L467"/>
      <c r="M467"/>
      <c r="N467"/>
      <c r="O467"/>
      <c r="P467"/>
      <c r="Q467"/>
      <c r="R467"/>
      <c r="S467"/>
      <c r="T467"/>
      <c r="U467"/>
      <c r="V467"/>
      <c r="W467"/>
      <c r="X467"/>
      <c r="Y467"/>
      <c r="Z467"/>
      <c r="AA467"/>
      <c r="AB467"/>
      <c r="AC467"/>
      <c r="AD467"/>
      <c r="AE467"/>
      <c r="AF467"/>
      <c r="AG467"/>
      <c r="AH467"/>
      <c r="AI467"/>
      <c r="AJ467"/>
      <c r="AK467"/>
      <c r="AL467"/>
      <c r="AM467"/>
      <c r="AN467"/>
    </row>
    <row r="468" spans="1:40" x14ac:dyDescent="0.15">
      <c r="A468" s="75">
        <f ca="1">IFERROR(IF(AND(MAX($A$114:A467)&gt;A467+1, MAX($A$114:A467)&gt;20),0,IF(AND(D468="",G468=""),0,IF(OR(D468&gt;LimitSignB10, G468&gt;LimitSignB11),A467+1,0))),"")</f>
        <v>0</v>
      </c>
      <c r="B468" s="76" t="str">
        <f ca="1">IFERROR(MyTime(INDEX(INDIRECT("input!"&amp;$B$112&amp;":"&amp;$B$112),FirstRowInput+Integration*COUNT($B$114:B467)) )* $B$110,"")</f>
        <v/>
      </c>
      <c r="C468" s="77" t="str">
        <f ca="1">IFERROR(AVERAGE(INDEX(INDIRECT("input!" &amp; $C$112 &amp; ":" &amp; $C$112),FirstRowInput+Integration*COUNT($B$114:B467)):INDEX(INDIRECT("input!" &amp; $C$112 &amp; ":" &amp; $C$112),FirstRowInput+Integration*COUNT($B$114:B467)+Integration-1))*$C$110,"")</f>
        <v/>
      </c>
      <c r="D468" s="77" t="str">
        <f ca="1">IFERROR(AVERAGE(INDEX(INDIRECT("input!" &amp; $D$112 &amp; ":" &amp; $D$112),FirstRowInput+Integration*COUNT($B$114:B467)):INDEX(INDIRECT("input!" &amp; $D$112 &amp; ":" &amp; $D$112),FirstRowInput+Integration*COUNT($B$114:B467)+Integration-1))*$D$110,"")</f>
        <v/>
      </c>
      <c r="E468" s="77" t="str">
        <f ca="1">IFERROR(AVERAGE(INDEX(INDIRECT("input!" &amp; $E$112 &amp; ":" &amp; $E$112),FirstRowInput+Integration*COUNT($B$114:B467)):INDEX(INDIRECT("input!" &amp; $E$112 &amp; ":" &amp; $E$112),FirstRowInput+Integration*COUNT($B$114:B467)+Integration-1))*$E$110,"")</f>
        <v/>
      </c>
      <c r="F468" s="77" t="str">
        <f ca="1">IFERROR(AVERAGE(INDEX(INDIRECT("input!" &amp; $F$112 &amp; ":" &amp; $F$112),FirstRowInput+Integration*COUNT($B$114:B467)):INDEX(INDIRECT("input!" &amp; $F$112 &amp; ":" &amp; $F$112),FirstRowInput+Integration*COUNT($B$114:B467)+Integration-1))*$F$110,"")</f>
        <v/>
      </c>
      <c r="G468" s="77" t="str">
        <f ca="1">IFERROR(AVERAGE(INDEX(INDIRECT("input!" &amp; $G$112 &amp; ":" &amp; $G$112),FirstRowInput+Integration*COUNT($B$114:B467)):INDEX(INDIRECT("input!" &amp; $G$112 &amp; ":" &amp; $G$112),FirstRowInput+Integration*COUNT($B$114:B467)+Integration-1))*$G$110,"")</f>
        <v/>
      </c>
      <c r="H468" s="77" t="str">
        <f ca="1">IFERROR(AVERAGE(INDEX(INDIRECT("input!" &amp; $H$112 &amp; ":" &amp; $H$112),FirstRowInput+Integration*COUNT($B$114:B467)):INDEX(INDIRECT("input!" &amp; $H$112 &amp; ":" &amp; $H$112),FirstRowInput+Integration*COUNT($B$114:B467)+Integration-1))*$H$110,"")</f>
        <v/>
      </c>
      <c r="I468" s="42">
        <v>356</v>
      </c>
      <c r="J468"/>
      <c r="K468"/>
      <c r="L468"/>
      <c r="M468"/>
      <c r="N468"/>
      <c r="O468"/>
      <c r="P468"/>
      <c r="Q468"/>
      <c r="R468"/>
      <c r="S468"/>
      <c r="T468"/>
      <c r="U468"/>
      <c r="V468"/>
      <c r="W468"/>
      <c r="X468"/>
      <c r="Y468"/>
      <c r="Z468"/>
      <c r="AA468"/>
      <c r="AB468"/>
      <c r="AC468"/>
      <c r="AD468"/>
      <c r="AE468"/>
      <c r="AF468"/>
      <c r="AG468"/>
      <c r="AH468"/>
      <c r="AI468"/>
      <c r="AJ468"/>
      <c r="AK468"/>
      <c r="AL468"/>
      <c r="AM468"/>
      <c r="AN468"/>
    </row>
    <row r="469" spans="1:40" x14ac:dyDescent="0.15">
      <c r="A469" s="75">
        <f ca="1">IFERROR(IF(AND(MAX($A$114:A468)&gt;A468+1, MAX($A$114:A468)&gt;20),0,IF(AND(D469="",G469=""),0,IF(OR(D469&gt;LimitSignB10, G469&gt;LimitSignB11),A468+1,0))),"")</f>
        <v>0</v>
      </c>
      <c r="B469" s="76" t="str">
        <f ca="1">IFERROR(MyTime(INDEX(INDIRECT("input!"&amp;$B$112&amp;":"&amp;$B$112),FirstRowInput+Integration*COUNT($B$114:B468)) )* $B$110,"")</f>
        <v/>
      </c>
      <c r="C469" s="77" t="str">
        <f ca="1">IFERROR(AVERAGE(INDEX(INDIRECT("input!" &amp; $C$112 &amp; ":" &amp; $C$112),FirstRowInput+Integration*COUNT($B$114:B468)):INDEX(INDIRECT("input!" &amp; $C$112 &amp; ":" &amp; $C$112),FirstRowInput+Integration*COUNT($B$114:B468)+Integration-1))*$C$110,"")</f>
        <v/>
      </c>
      <c r="D469" s="77" t="str">
        <f ca="1">IFERROR(AVERAGE(INDEX(INDIRECT("input!" &amp; $D$112 &amp; ":" &amp; $D$112),FirstRowInput+Integration*COUNT($B$114:B468)):INDEX(INDIRECT("input!" &amp; $D$112 &amp; ":" &amp; $D$112),FirstRowInput+Integration*COUNT($B$114:B468)+Integration-1))*$D$110,"")</f>
        <v/>
      </c>
      <c r="E469" s="77" t="str">
        <f ca="1">IFERROR(AVERAGE(INDEX(INDIRECT("input!" &amp; $E$112 &amp; ":" &amp; $E$112),FirstRowInput+Integration*COUNT($B$114:B468)):INDEX(INDIRECT("input!" &amp; $E$112 &amp; ":" &amp; $E$112),FirstRowInput+Integration*COUNT($B$114:B468)+Integration-1))*$E$110,"")</f>
        <v/>
      </c>
      <c r="F469" s="77" t="str">
        <f ca="1">IFERROR(AVERAGE(INDEX(INDIRECT("input!" &amp; $F$112 &amp; ":" &amp; $F$112),FirstRowInput+Integration*COUNT($B$114:B468)):INDEX(INDIRECT("input!" &amp; $F$112 &amp; ":" &amp; $F$112),FirstRowInput+Integration*COUNT($B$114:B468)+Integration-1))*$F$110,"")</f>
        <v/>
      </c>
      <c r="G469" s="77" t="str">
        <f ca="1">IFERROR(AVERAGE(INDEX(INDIRECT("input!" &amp; $G$112 &amp; ":" &amp; $G$112),FirstRowInput+Integration*COUNT($B$114:B468)):INDEX(INDIRECT("input!" &amp; $G$112 &amp; ":" &amp; $G$112),FirstRowInput+Integration*COUNT($B$114:B468)+Integration-1))*$G$110,"")</f>
        <v/>
      </c>
      <c r="H469" s="77" t="str">
        <f ca="1">IFERROR(AVERAGE(INDEX(INDIRECT("input!" &amp; $H$112 &amp; ":" &amp; $H$112),FirstRowInput+Integration*COUNT($B$114:B468)):INDEX(INDIRECT("input!" &amp; $H$112 &amp; ":" &amp; $H$112),FirstRowInput+Integration*COUNT($B$114:B468)+Integration-1))*$H$110,"")</f>
        <v/>
      </c>
      <c r="I469" s="42">
        <v>357</v>
      </c>
      <c r="J469"/>
      <c r="K469"/>
      <c r="L469"/>
      <c r="M469"/>
      <c r="N469"/>
      <c r="O469"/>
      <c r="P469"/>
      <c r="Q469"/>
      <c r="R469"/>
      <c r="S469"/>
      <c r="T469"/>
      <c r="U469"/>
      <c r="V469"/>
      <c r="W469"/>
      <c r="X469"/>
      <c r="Y469"/>
      <c r="Z469"/>
      <c r="AA469"/>
      <c r="AB469"/>
      <c r="AC469"/>
      <c r="AD469"/>
      <c r="AE469"/>
      <c r="AF469"/>
      <c r="AG469"/>
      <c r="AH469"/>
      <c r="AI469"/>
      <c r="AJ469"/>
      <c r="AK469"/>
      <c r="AL469"/>
      <c r="AM469"/>
      <c r="AN469"/>
    </row>
    <row r="470" spans="1:40" x14ac:dyDescent="0.15">
      <c r="A470" s="75">
        <f ca="1">IFERROR(IF(AND(MAX($A$114:A469)&gt;A469+1, MAX($A$114:A469)&gt;20),0,IF(AND(D470="",G470=""),0,IF(OR(D470&gt;LimitSignB10, G470&gt;LimitSignB11),A469+1,0))),"")</f>
        <v>0</v>
      </c>
      <c r="B470" s="76" t="str">
        <f ca="1">IFERROR(MyTime(INDEX(INDIRECT("input!"&amp;$B$112&amp;":"&amp;$B$112),FirstRowInput+Integration*COUNT($B$114:B469)) )* $B$110,"")</f>
        <v/>
      </c>
      <c r="C470" s="77" t="str">
        <f ca="1">IFERROR(AVERAGE(INDEX(INDIRECT("input!" &amp; $C$112 &amp; ":" &amp; $C$112),FirstRowInput+Integration*COUNT($B$114:B469)):INDEX(INDIRECT("input!" &amp; $C$112 &amp; ":" &amp; $C$112),FirstRowInput+Integration*COUNT($B$114:B469)+Integration-1))*$C$110,"")</f>
        <v/>
      </c>
      <c r="D470" s="77" t="str">
        <f ca="1">IFERROR(AVERAGE(INDEX(INDIRECT("input!" &amp; $D$112 &amp; ":" &amp; $D$112),FirstRowInput+Integration*COUNT($B$114:B469)):INDEX(INDIRECT("input!" &amp; $D$112 &amp; ":" &amp; $D$112),FirstRowInput+Integration*COUNT($B$114:B469)+Integration-1))*$D$110,"")</f>
        <v/>
      </c>
      <c r="E470" s="77" t="str">
        <f ca="1">IFERROR(AVERAGE(INDEX(INDIRECT("input!" &amp; $E$112 &amp; ":" &amp; $E$112),FirstRowInput+Integration*COUNT($B$114:B469)):INDEX(INDIRECT("input!" &amp; $E$112 &amp; ":" &amp; $E$112),FirstRowInput+Integration*COUNT($B$114:B469)+Integration-1))*$E$110,"")</f>
        <v/>
      </c>
      <c r="F470" s="77" t="str">
        <f ca="1">IFERROR(AVERAGE(INDEX(INDIRECT("input!" &amp; $F$112 &amp; ":" &amp; $F$112),FirstRowInput+Integration*COUNT($B$114:B469)):INDEX(INDIRECT("input!" &amp; $F$112 &amp; ":" &amp; $F$112),FirstRowInput+Integration*COUNT($B$114:B469)+Integration-1))*$F$110,"")</f>
        <v/>
      </c>
      <c r="G470" s="77" t="str">
        <f ca="1">IFERROR(AVERAGE(INDEX(INDIRECT("input!" &amp; $G$112 &amp; ":" &amp; $G$112),FirstRowInput+Integration*COUNT($B$114:B469)):INDEX(INDIRECT("input!" &amp; $G$112 &amp; ":" &amp; $G$112),FirstRowInput+Integration*COUNT($B$114:B469)+Integration-1))*$G$110,"")</f>
        <v/>
      </c>
      <c r="H470" s="77" t="str">
        <f ca="1">IFERROR(AVERAGE(INDEX(INDIRECT("input!" &amp; $H$112 &amp; ":" &amp; $H$112),FirstRowInput+Integration*COUNT($B$114:B469)):INDEX(INDIRECT("input!" &amp; $H$112 &amp; ":" &amp; $H$112),FirstRowInput+Integration*COUNT($B$114:B469)+Integration-1))*$H$110,"")</f>
        <v/>
      </c>
      <c r="I470" s="42">
        <v>358</v>
      </c>
      <c r="J470"/>
      <c r="K470"/>
      <c r="L470"/>
      <c r="M470"/>
      <c r="N470"/>
      <c r="O470"/>
      <c r="P470"/>
      <c r="Q470"/>
      <c r="R470"/>
      <c r="S470"/>
      <c r="T470"/>
      <c r="U470"/>
      <c r="V470"/>
      <c r="W470"/>
      <c r="X470"/>
      <c r="Y470"/>
      <c r="Z470"/>
      <c r="AA470"/>
      <c r="AB470"/>
      <c r="AC470"/>
      <c r="AD470"/>
      <c r="AE470"/>
      <c r="AF470"/>
      <c r="AG470"/>
      <c r="AH470"/>
      <c r="AI470"/>
      <c r="AJ470"/>
      <c r="AK470"/>
      <c r="AL470"/>
      <c r="AM470"/>
      <c r="AN470"/>
    </row>
    <row r="471" spans="1:40" x14ac:dyDescent="0.15">
      <c r="A471" s="75">
        <f ca="1">IFERROR(IF(AND(MAX($A$114:A470)&gt;A470+1, MAX($A$114:A470)&gt;20),0,IF(AND(D471="",G471=""),0,IF(OR(D471&gt;LimitSignB10, G471&gt;LimitSignB11),A470+1,0))),"")</f>
        <v>0</v>
      </c>
      <c r="B471" s="76" t="str">
        <f ca="1">IFERROR(MyTime(INDEX(INDIRECT("input!"&amp;$B$112&amp;":"&amp;$B$112),FirstRowInput+Integration*COUNT($B$114:B470)) )* $B$110,"")</f>
        <v/>
      </c>
      <c r="C471" s="77" t="str">
        <f ca="1">IFERROR(AVERAGE(INDEX(INDIRECT("input!" &amp; $C$112 &amp; ":" &amp; $C$112),FirstRowInput+Integration*COUNT($B$114:B470)):INDEX(INDIRECT("input!" &amp; $C$112 &amp; ":" &amp; $C$112),FirstRowInput+Integration*COUNT($B$114:B470)+Integration-1))*$C$110,"")</f>
        <v/>
      </c>
      <c r="D471" s="77" t="str">
        <f ca="1">IFERROR(AVERAGE(INDEX(INDIRECT("input!" &amp; $D$112 &amp; ":" &amp; $D$112),FirstRowInput+Integration*COUNT($B$114:B470)):INDEX(INDIRECT("input!" &amp; $D$112 &amp; ":" &amp; $D$112),FirstRowInput+Integration*COUNT($B$114:B470)+Integration-1))*$D$110,"")</f>
        <v/>
      </c>
      <c r="E471" s="77" t="str">
        <f ca="1">IFERROR(AVERAGE(INDEX(INDIRECT("input!" &amp; $E$112 &amp; ":" &amp; $E$112),FirstRowInput+Integration*COUNT($B$114:B470)):INDEX(INDIRECT("input!" &amp; $E$112 &amp; ":" &amp; $E$112),FirstRowInput+Integration*COUNT($B$114:B470)+Integration-1))*$E$110,"")</f>
        <v/>
      </c>
      <c r="F471" s="77" t="str">
        <f ca="1">IFERROR(AVERAGE(INDEX(INDIRECT("input!" &amp; $F$112 &amp; ":" &amp; $F$112),FirstRowInput+Integration*COUNT($B$114:B470)):INDEX(INDIRECT("input!" &amp; $F$112 &amp; ":" &amp; $F$112),FirstRowInput+Integration*COUNT($B$114:B470)+Integration-1))*$F$110,"")</f>
        <v/>
      </c>
      <c r="G471" s="77" t="str">
        <f ca="1">IFERROR(AVERAGE(INDEX(INDIRECT("input!" &amp; $G$112 &amp; ":" &amp; $G$112),FirstRowInput+Integration*COUNT($B$114:B470)):INDEX(INDIRECT("input!" &amp; $G$112 &amp; ":" &amp; $G$112),FirstRowInput+Integration*COUNT($B$114:B470)+Integration-1))*$G$110,"")</f>
        <v/>
      </c>
      <c r="H471" s="77" t="str">
        <f ca="1">IFERROR(AVERAGE(INDEX(INDIRECT("input!" &amp; $H$112 &amp; ":" &amp; $H$112),FirstRowInput+Integration*COUNT($B$114:B470)):INDEX(INDIRECT("input!" &amp; $H$112 &amp; ":" &amp; $H$112),FirstRowInput+Integration*COUNT($B$114:B470)+Integration-1))*$H$110,"")</f>
        <v/>
      </c>
      <c r="I471" s="42">
        <v>359</v>
      </c>
      <c r="J471"/>
      <c r="K471"/>
      <c r="L471"/>
      <c r="M471"/>
      <c r="N471"/>
      <c r="O471"/>
      <c r="P471"/>
      <c r="Q471"/>
      <c r="R471"/>
      <c r="S471"/>
      <c r="T471"/>
      <c r="U471"/>
      <c r="V471"/>
      <c r="W471"/>
      <c r="X471"/>
      <c r="Y471"/>
      <c r="Z471"/>
      <c r="AA471"/>
      <c r="AB471"/>
      <c r="AC471"/>
      <c r="AD471"/>
      <c r="AE471"/>
      <c r="AF471"/>
      <c r="AG471"/>
      <c r="AH471"/>
      <c r="AI471"/>
      <c r="AJ471"/>
      <c r="AK471"/>
      <c r="AL471"/>
      <c r="AM471"/>
      <c r="AN471"/>
    </row>
    <row r="472" spans="1:40" x14ac:dyDescent="0.15">
      <c r="A472" s="75">
        <f ca="1">IFERROR(IF(AND(MAX($A$114:A471)&gt;A471+1, MAX($A$114:A471)&gt;20),0,IF(AND(D472="",G472=""),0,IF(OR(D472&gt;LimitSignB10, G472&gt;LimitSignB11),A471+1,0))),"")</f>
        <v>0</v>
      </c>
      <c r="B472" s="76" t="str">
        <f ca="1">IFERROR(MyTime(INDEX(INDIRECT("input!"&amp;$B$112&amp;":"&amp;$B$112),FirstRowInput+Integration*COUNT($B$114:B471)) )* $B$110,"")</f>
        <v/>
      </c>
      <c r="C472" s="77" t="str">
        <f ca="1">IFERROR(AVERAGE(INDEX(INDIRECT("input!" &amp; $C$112 &amp; ":" &amp; $C$112),FirstRowInput+Integration*COUNT($B$114:B471)):INDEX(INDIRECT("input!" &amp; $C$112 &amp; ":" &amp; $C$112),FirstRowInput+Integration*COUNT($B$114:B471)+Integration-1))*$C$110,"")</f>
        <v/>
      </c>
      <c r="D472" s="77" t="str">
        <f ca="1">IFERROR(AVERAGE(INDEX(INDIRECT("input!" &amp; $D$112 &amp; ":" &amp; $D$112),FirstRowInput+Integration*COUNT($B$114:B471)):INDEX(INDIRECT("input!" &amp; $D$112 &amp; ":" &amp; $D$112),FirstRowInput+Integration*COUNT($B$114:B471)+Integration-1))*$D$110,"")</f>
        <v/>
      </c>
      <c r="E472" s="77" t="str">
        <f ca="1">IFERROR(AVERAGE(INDEX(INDIRECT("input!" &amp; $E$112 &amp; ":" &amp; $E$112),FirstRowInput+Integration*COUNT($B$114:B471)):INDEX(INDIRECT("input!" &amp; $E$112 &amp; ":" &amp; $E$112),FirstRowInput+Integration*COUNT($B$114:B471)+Integration-1))*$E$110,"")</f>
        <v/>
      </c>
      <c r="F472" s="77" t="str">
        <f ca="1">IFERROR(AVERAGE(INDEX(INDIRECT("input!" &amp; $F$112 &amp; ":" &amp; $F$112),FirstRowInput+Integration*COUNT($B$114:B471)):INDEX(INDIRECT("input!" &amp; $F$112 &amp; ":" &amp; $F$112),FirstRowInput+Integration*COUNT($B$114:B471)+Integration-1))*$F$110,"")</f>
        <v/>
      </c>
      <c r="G472" s="77" t="str">
        <f ca="1">IFERROR(AVERAGE(INDEX(INDIRECT("input!" &amp; $G$112 &amp; ":" &amp; $G$112),FirstRowInput+Integration*COUNT($B$114:B471)):INDEX(INDIRECT("input!" &amp; $G$112 &amp; ":" &amp; $G$112),FirstRowInput+Integration*COUNT($B$114:B471)+Integration-1))*$G$110,"")</f>
        <v/>
      </c>
      <c r="H472" s="77" t="str">
        <f ca="1">IFERROR(AVERAGE(INDEX(INDIRECT("input!" &amp; $H$112 &amp; ":" &amp; $H$112),FirstRowInput+Integration*COUNT($B$114:B471)):INDEX(INDIRECT("input!" &amp; $H$112 &amp; ":" &amp; $H$112),FirstRowInput+Integration*COUNT($B$114:B471)+Integration-1))*$H$110,"")</f>
        <v/>
      </c>
      <c r="I472" s="42">
        <v>360</v>
      </c>
      <c r="J472"/>
      <c r="K472"/>
      <c r="L472"/>
      <c r="M472"/>
      <c r="N472"/>
      <c r="O472"/>
      <c r="P472"/>
      <c r="Q472"/>
      <c r="R472"/>
      <c r="S472"/>
      <c r="T472"/>
      <c r="U472"/>
      <c r="V472"/>
      <c r="W472"/>
      <c r="X472"/>
      <c r="Y472"/>
      <c r="Z472"/>
      <c r="AA472"/>
      <c r="AB472"/>
      <c r="AC472"/>
      <c r="AD472"/>
      <c r="AE472"/>
      <c r="AF472"/>
      <c r="AG472"/>
      <c r="AH472"/>
      <c r="AI472"/>
      <c r="AJ472"/>
      <c r="AK472"/>
      <c r="AL472"/>
      <c r="AM472"/>
      <c r="AN472"/>
    </row>
    <row r="473" spans="1:40" x14ac:dyDescent="0.15">
      <c r="A473" s="75">
        <f ca="1">IFERROR(IF(AND(MAX($A$114:A472)&gt;A472+1, MAX($A$114:A472)&gt;20),0,IF(AND(D473="",G473=""),0,IF(OR(D473&gt;LimitSignB10, G473&gt;LimitSignB11),A472+1,0))),"")</f>
        <v>0</v>
      </c>
      <c r="B473" s="76" t="str">
        <f ca="1">IFERROR(MyTime(INDEX(INDIRECT("input!"&amp;$B$112&amp;":"&amp;$B$112),FirstRowInput+Integration*COUNT($B$114:B472)) )* $B$110,"")</f>
        <v/>
      </c>
      <c r="C473" s="77" t="str">
        <f ca="1">IFERROR(AVERAGE(INDEX(INDIRECT("input!" &amp; $C$112 &amp; ":" &amp; $C$112),FirstRowInput+Integration*COUNT($B$114:B472)):INDEX(INDIRECT("input!" &amp; $C$112 &amp; ":" &amp; $C$112),FirstRowInput+Integration*COUNT($B$114:B472)+Integration-1))*$C$110,"")</f>
        <v/>
      </c>
      <c r="D473" s="77" t="str">
        <f ca="1">IFERROR(AVERAGE(INDEX(INDIRECT("input!" &amp; $D$112 &amp; ":" &amp; $D$112),FirstRowInput+Integration*COUNT($B$114:B472)):INDEX(INDIRECT("input!" &amp; $D$112 &amp; ":" &amp; $D$112),FirstRowInput+Integration*COUNT($B$114:B472)+Integration-1))*$D$110,"")</f>
        <v/>
      </c>
      <c r="E473" s="77" t="str">
        <f ca="1">IFERROR(AVERAGE(INDEX(INDIRECT("input!" &amp; $E$112 &amp; ":" &amp; $E$112),FirstRowInput+Integration*COUNT($B$114:B472)):INDEX(INDIRECT("input!" &amp; $E$112 &amp; ":" &amp; $E$112),FirstRowInput+Integration*COUNT($B$114:B472)+Integration-1))*$E$110,"")</f>
        <v/>
      </c>
      <c r="F473" s="77" t="str">
        <f ca="1">IFERROR(AVERAGE(INDEX(INDIRECT("input!" &amp; $F$112 &amp; ":" &amp; $F$112),FirstRowInput+Integration*COUNT($B$114:B472)):INDEX(INDIRECT("input!" &amp; $F$112 &amp; ":" &amp; $F$112),FirstRowInput+Integration*COUNT($B$114:B472)+Integration-1))*$F$110,"")</f>
        <v/>
      </c>
      <c r="G473" s="77" t="str">
        <f ca="1">IFERROR(AVERAGE(INDEX(INDIRECT("input!" &amp; $G$112 &amp; ":" &amp; $G$112),FirstRowInput+Integration*COUNT($B$114:B472)):INDEX(INDIRECT("input!" &amp; $G$112 &amp; ":" &amp; $G$112),FirstRowInput+Integration*COUNT($B$114:B472)+Integration-1))*$G$110,"")</f>
        <v/>
      </c>
      <c r="H473" s="77" t="str">
        <f ca="1">IFERROR(AVERAGE(INDEX(INDIRECT("input!" &amp; $H$112 &amp; ":" &amp; $H$112),FirstRowInput+Integration*COUNT($B$114:B472)):INDEX(INDIRECT("input!" &amp; $H$112 &amp; ":" &amp; $H$112),FirstRowInput+Integration*COUNT($B$114:B472)+Integration-1))*$H$110,"")</f>
        <v/>
      </c>
      <c r="I473" s="42">
        <v>361</v>
      </c>
      <c r="J473"/>
      <c r="K473"/>
      <c r="L473"/>
      <c r="M473"/>
      <c r="N473"/>
      <c r="O473"/>
      <c r="P473"/>
      <c r="Q473"/>
      <c r="R473"/>
      <c r="S473"/>
      <c r="T473"/>
      <c r="U473"/>
      <c r="V473"/>
      <c r="W473"/>
      <c r="X473"/>
      <c r="Y473"/>
      <c r="Z473"/>
      <c r="AA473"/>
      <c r="AB473"/>
      <c r="AC473"/>
      <c r="AD473"/>
      <c r="AE473"/>
      <c r="AF473"/>
      <c r="AG473"/>
      <c r="AH473"/>
      <c r="AI473"/>
      <c r="AJ473"/>
      <c r="AK473"/>
      <c r="AL473"/>
      <c r="AM473"/>
      <c r="AN473"/>
    </row>
    <row r="474" spans="1:40" x14ac:dyDescent="0.15">
      <c r="A474" s="75">
        <f ca="1">IFERROR(IF(AND(MAX($A$114:A473)&gt;A473+1, MAX($A$114:A473)&gt;20),0,IF(AND(D474="",G474=""),0,IF(OR(D474&gt;LimitSignB10, G474&gt;LimitSignB11),A473+1,0))),"")</f>
        <v>0</v>
      </c>
      <c r="B474" s="76" t="str">
        <f ca="1">IFERROR(MyTime(INDEX(INDIRECT("input!"&amp;$B$112&amp;":"&amp;$B$112),FirstRowInput+Integration*COUNT($B$114:B473)) )* $B$110,"")</f>
        <v/>
      </c>
      <c r="C474" s="77" t="str">
        <f ca="1">IFERROR(AVERAGE(INDEX(INDIRECT("input!" &amp; $C$112 &amp; ":" &amp; $C$112),FirstRowInput+Integration*COUNT($B$114:B473)):INDEX(INDIRECT("input!" &amp; $C$112 &amp; ":" &amp; $C$112),FirstRowInput+Integration*COUNT($B$114:B473)+Integration-1))*$C$110,"")</f>
        <v/>
      </c>
      <c r="D474" s="77" t="str">
        <f ca="1">IFERROR(AVERAGE(INDEX(INDIRECT("input!" &amp; $D$112 &amp; ":" &amp; $D$112),FirstRowInput+Integration*COUNT($B$114:B473)):INDEX(INDIRECT("input!" &amp; $D$112 &amp; ":" &amp; $D$112),FirstRowInput+Integration*COUNT($B$114:B473)+Integration-1))*$D$110,"")</f>
        <v/>
      </c>
      <c r="E474" s="77" t="str">
        <f ca="1">IFERROR(AVERAGE(INDEX(INDIRECT("input!" &amp; $E$112 &amp; ":" &amp; $E$112),FirstRowInput+Integration*COUNT($B$114:B473)):INDEX(INDIRECT("input!" &amp; $E$112 &amp; ":" &amp; $E$112),FirstRowInput+Integration*COUNT($B$114:B473)+Integration-1))*$E$110,"")</f>
        <v/>
      </c>
      <c r="F474" s="77" t="str">
        <f ca="1">IFERROR(AVERAGE(INDEX(INDIRECT("input!" &amp; $F$112 &amp; ":" &amp; $F$112),FirstRowInput+Integration*COUNT($B$114:B473)):INDEX(INDIRECT("input!" &amp; $F$112 &amp; ":" &amp; $F$112),FirstRowInput+Integration*COUNT($B$114:B473)+Integration-1))*$F$110,"")</f>
        <v/>
      </c>
      <c r="G474" s="77" t="str">
        <f ca="1">IFERROR(AVERAGE(INDEX(INDIRECT("input!" &amp; $G$112 &amp; ":" &amp; $G$112),FirstRowInput+Integration*COUNT($B$114:B473)):INDEX(INDIRECT("input!" &amp; $G$112 &amp; ":" &amp; $G$112),FirstRowInput+Integration*COUNT($B$114:B473)+Integration-1))*$G$110,"")</f>
        <v/>
      </c>
      <c r="H474" s="77" t="str">
        <f ca="1">IFERROR(AVERAGE(INDEX(INDIRECT("input!" &amp; $H$112 &amp; ":" &amp; $H$112),FirstRowInput+Integration*COUNT($B$114:B473)):INDEX(INDIRECT("input!" &amp; $H$112 &amp; ":" &amp; $H$112),FirstRowInput+Integration*COUNT($B$114:B473)+Integration-1))*$H$110,"")</f>
        <v/>
      </c>
      <c r="I474" s="42">
        <v>362</v>
      </c>
      <c r="J474"/>
      <c r="K474"/>
      <c r="L474"/>
      <c r="M474"/>
      <c r="N474"/>
      <c r="O474"/>
      <c r="P474"/>
      <c r="Q474"/>
      <c r="R474"/>
      <c r="S474"/>
      <c r="T474"/>
      <c r="U474"/>
      <c r="V474"/>
      <c r="W474"/>
      <c r="X474"/>
      <c r="Y474"/>
      <c r="Z474"/>
      <c r="AA474"/>
      <c r="AB474"/>
      <c r="AC474"/>
      <c r="AD474"/>
      <c r="AE474"/>
      <c r="AF474"/>
      <c r="AG474"/>
      <c r="AH474"/>
      <c r="AI474"/>
      <c r="AJ474"/>
      <c r="AK474"/>
      <c r="AL474"/>
      <c r="AM474"/>
      <c r="AN474"/>
    </row>
    <row r="475" spans="1:40" x14ac:dyDescent="0.15">
      <c r="A475" s="75">
        <f ca="1">IFERROR(IF(AND(MAX($A$114:A474)&gt;A474+1, MAX($A$114:A474)&gt;20),0,IF(AND(D475="",G475=""),0,IF(OR(D475&gt;LimitSignB10, G475&gt;LimitSignB11),A474+1,0))),"")</f>
        <v>0</v>
      </c>
      <c r="B475" s="76" t="str">
        <f ca="1">IFERROR(MyTime(INDEX(INDIRECT("input!"&amp;$B$112&amp;":"&amp;$B$112),FirstRowInput+Integration*COUNT($B$114:B474)) )* $B$110,"")</f>
        <v/>
      </c>
      <c r="C475" s="77" t="str">
        <f ca="1">IFERROR(AVERAGE(INDEX(INDIRECT("input!" &amp; $C$112 &amp; ":" &amp; $C$112),FirstRowInput+Integration*COUNT($B$114:B474)):INDEX(INDIRECT("input!" &amp; $C$112 &amp; ":" &amp; $C$112),FirstRowInput+Integration*COUNT($B$114:B474)+Integration-1))*$C$110,"")</f>
        <v/>
      </c>
      <c r="D475" s="77" t="str">
        <f ca="1">IFERROR(AVERAGE(INDEX(INDIRECT("input!" &amp; $D$112 &amp; ":" &amp; $D$112),FirstRowInput+Integration*COUNT($B$114:B474)):INDEX(INDIRECT("input!" &amp; $D$112 &amp; ":" &amp; $D$112),FirstRowInput+Integration*COUNT($B$114:B474)+Integration-1))*$D$110,"")</f>
        <v/>
      </c>
      <c r="E475" s="77" t="str">
        <f ca="1">IFERROR(AVERAGE(INDEX(INDIRECT("input!" &amp; $E$112 &amp; ":" &amp; $E$112),FirstRowInput+Integration*COUNT($B$114:B474)):INDEX(INDIRECT("input!" &amp; $E$112 &amp; ":" &amp; $E$112),FirstRowInput+Integration*COUNT($B$114:B474)+Integration-1))*$E$110,"")</f>
        <v/>
      </c>
      <c r="F475" s="77" t="str">
        <f ca="1">IFERROR(AVERAGE(INDEX(INDIRECT("input!" &amp; $F$112 &amp; ":" &amp; $F$112),FirstRowInput+Integration*COUNT($B$114:B474)):INDEX(INDIRECT("input!" &amp; $F$112 &amp; ":" &amp; $F$112),FirstRowInput+Integration*COUNT($B$114:B474)+Integration-1))*$F$110,"")</f>
        <v/>
      </c>
      <c r="G475" s="77" t="str">
        <f ca="1">IFERROR(AVERAGE(INDEX(INDIRECT("input!" &amp; $G$112 &amp; ":" &amp; $G$112),FirstRowInput+Integration*COUNT($B$114:B474)):INDEX(INDIRECT("input!" &amp; $G$112 &amp; ":" &amp; $G$112),FirstRowInput+Integration*COUNT($B$114:B474)+Integration-1))*$G$110,"")</f>
        <v/>
      </c>
      <c r="H475" s="77" t="str">
        <f ca="1">IFERROR(AVERAGE(INDEX(INDIRECT("input!" &amp; $H$112 &amp; ":" &amp; $H$112),FirstRowInput+Integration*COUNT($B$114:B474)):INDEX(INDIRECT("input!" &amp; $H$112 &amp; ":" &amp; $H$112),FirstRowInput+Integration*COUNT($B$114:B474)+Integration-1))*$H$110,"")</f>
        <v/>
      </c>
      <c r="I475" s="42">
        <v>363</v>
      </c>
      <c r="J475"/>
      <c r="K475"/>
      <c r="L475"/>
      <c r="M475"/>
      <c r="N475"/>
      <c r="O475"/>
      <c r="P475"/>
      <c r="Q475"/>
      <c r="R475"/>
      <c r="S475"/>
      <c r="T475"/>
      <c r="U475"/>
      <c r="V475"/>
      <c r="W475"/>
      <c r="X475"/>
      <c r="Y475"/>
      <c r="Z475"/>
      <c r="AA475"/>
      <c r="AB475"/>
      <c r="AC475"/>
      <c r="AD475"/>
      <c r="AE475"/>
      <c r="AF475"/>
      <c r="AG475"/>
      <c r="AH475"/>
      <c r="AI475"/>
      <c r="AJ475"/>
      <c r="AK475"/>
      <c r="AL475"/>
      <c r="AM475"/>
      <c r="AN475"/>
    </row>
    <row r="476" spans="1:40" x14ac:dyDescent="0.15">
      <c r="A476" s="75">
        <f ca="1">IFERROR(IF(AND(MAX($A$114:A475)&gt;A475+1, MAX($A$114:A475)&gt;20),0,IF(AND(D476="",G476=""),0,IF(OR(D476&gt;LimitSignB10, G476&gt;LimitSignB11),A475+1,0))),"")</f>
        <v>0</v>
      </c>
      <c r="B476" s="76" t="str">
        <f ca="1">IFERROR(MyTime(INDEX(INDIRECT("input!"&amp;$B$112&amp;":"&amp;$B$112),FirstRowInput+Integration*COUNT($B$114:B475)) )* $B$110,"")</f>
        <v/>
      </c>
      <c r="C476" s="77" t="str">
        <f ca="1">IFERROR(AVERAGE(INDEX(INDIRECT("input!" &amp; $C$112 &amp; ":" &amp; $C$112),FirstRowInput+Integration*COUNT($B$114:B475)):INDEX(INDIRECT("input!" &amp; $C$112 &amp; ":" &amp; $C$112),FirstRowInput+Integration*COUNT($B$114:B475)+Integration-1))*$C$110,"")</f>
        <v/>
      </c>
      <c r="D476" s="77" t="str">
        <f ca="1">IFERROR(AVERAGE(INDEX(INDIRECT("input!" &amp; $D$112 &amp; ":" &amp; $D$112),FirstRowInput+Integration*COUNT($B$114:B475)):INDEX(INDIRECT("input!" &amp; $D$112 &amp; ":" &amp; $D$112),FirstRowInput+Integration*COUNT($B$114:B475)+Integration-1))*$D$110,"")</f>
        <v/>
      </c>
      <c r="E476" s="77" t="str">
        <f ca="1">IFERROR(AVERAGE(INDEX(INDIRECT("input!" &amp; $E$112 &amp; ":" &amp; $E$112),FirstRowInput+Integration*COUNT($B$114:B475)):INDEX(INDIRECT("input!" &amp; $E$112 &amp; ":" &amp; $E$112),FirstRowInput+Integration*COUNT($B$114:B475)+Integration-1))*$E$110,"")</f>
        <v/>
      </c>
      <c r="F476" s="77" t="str">
        <f ca="1">IFERROR(AVERAGE(INDEX(INDIRECT("input!" &amp; $F$112 &amp; ":" &amp; $F$112),FirstRowInput+Integration*COUNT($B$114:B475)):INDEX(INDIRECT("input!" &amp; $F$112 &amp; ":" &amp; $F$112),FirstRowInput+Integration*COUNT($B$114:B475)+Integration-1))*$F$110,"")</f>
        <v/>
      </c>
      <c r="G476" s="77" t="str">
        <f ca="1">IFERROR(AVERAGE(INDEX(INDIRECT("input!" &amp; $G$112 &amp; ":" &amp; $G$112),FirstRowInput+Integration*COUNT($B$114:B475)):INDEX(INDIRECT("input!" &amp; $G$112 &amp; ":" &amp; $G$112),FirstRowInput+Integration*COUNT($B$114:B475)+Integration-1))*$G$110,"")</f>
        <v/>
      </c>
      <c r="H476" s="77" t="str">
        <f ca="1">IFERROR(AVERAGE(INDEX(INDIRECT("input!" &amp; $H$112 &amp; ":" &amp; $H$112),FirstRowInput+Integration*COUNT($B$114:B475)):INDEX(INDIRECT("input!" &amp; $H$112 &amp; ":" &amp; $H$112),FirstRowInput+Integration*COUNT($B$114:B475)+Integration-1))*$H$110,"")</f>
        <v/>
      </c>
      <c r="I476" s="42">
        <v>364</v>
      </c>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0" x14ac:dyDescent="0.15">
      <c r="A477" s="75">
        <f ca="1">IFERROR(IF(AND(MAX($A$114:A476)&gt;A476+1, MAX($A$114:A476)&gt;20),0,IF(AND(D477="",G477=""),0,IF(OR(D477&gt;LimitSignB10, G477&gt;LimitSignB11),A476+1,0))),"")</f>
        <v>0</v>
      </c>
      <c r="B477" s="76" t="str">
        <f ca="1">IFERROR(MyTime(INDEX(INDIRECT("input!"&amp;$B$112&amp;":"&amp;$B$112),FirstRowInput+Integration*COUNT($B$114:B476)) )* $B$110,"")</f>
        <v/>
      </c>
      <c r="C477" s="77" t="str">
        <f ca="1">IFERROR(AVERAGE(INDEX(INDIRECT("input!" &amp; $C$112 &amp; ":" &amp; $C$112),FirstRowInput+Integration*COUNT($B$114:B476)):INDEX(INDIRECT("input!" &amp; $C$112 &amp; ":" &amp; $C$112),FirstRowInput+Integration*COUNT($B$114:B476)+Integration-1))*$C$110,"")</f>
        <v/>
      </c>
      <c r="D477" s="77" t="str">
        <f ca="1">IFERROR(AVERAGE(INDEX(INDIRECT("input!" &amp; $D$112 &amp; ":" &amp; $D$112),FirstRowInput+Integration*COUNT($B$114:B476)):INDEX(INDIRECT("input!" &amp; $D$112 &amp; ":" &amp; $D$112),FirstRowInput+Integration*COUNT($B$114:B476)+Integration-1))*$D$110,"")</f>
        <v/>
      </c>
      <c r="E477" s="77" t="str">
        <f ca="1">IFERROR(AVERAGE(INDEX(INDIRECT("input!" &amp; $E$112 &amp; ":" &amp; $E$112),FirstRowInput+Integration*COUNT($B$114:B476)):INDEX(INDIRECT("input!" &amp; $E$112 &amp; ":" &amp; $E$112),FirstRowInput+Integration*COUNT($B$114:B476)+Integration-1))*$E$110,"")</f>
        <v/>
      </c>
      <c r="F477" s="77" t="str">
        <f ca="1">IFERROR(AVERAGE(INDEX(INDIRECT("input!" &amp; $F$112 &amp; ":" &amp; $F$112),FirstRowInput+Integration*COUNT($B$114:B476)):INDEX(INDIRECT("input!" &amp; $F$112 &amp; ":" &amp; $F$112),FirstRowInput+Integration*COUNT($B$114:B476)+Integration-1))*$F$110,"")</f>
        <v/>
      </c>
      <c r="G477" s="77" t="str">
        <f ca="1">IFERROR(AVERAGE(INDEX(INDIRECT("input!" &amp; $G$112 &amp; ":" &amp; $G$112),FirstRowInput+Integration*COUNT($B$114:B476)):INDEX(INDIRECT("input!" &amp; $G$112 &amp; ":" &amp; $G$112),FirstRowInput+Integration*COUNT($B$114:B476)+Integration-1))*$G$110,"")</f>
        <v/>
      </c>
      <c r="H477" s="77" t="str">
        <f ca="1">IFERROR(AVERAGE(INDEX(INDIRECT("input!" &amp; $H$112 &amp; ":" &amp; $H$112),FirstRowInput+Integration*COUNT($B$114:B476)):INDEX(INDIRECT("input!" &amp; $H$112 &amp; ":" &amp; $H$112),FirstRowInput+Integration*COUNT($B$114:B476)+Integration-1))*$H$110,"")</f>
        <v/>
      </c>
      <c r="I477" s="42">
        <v>365</v>
      </c>
      <c r="J477"/>
      <c r="K477"/>
      <c r="L477"/>
      <c r="M477"/>
      <c r="N477"/>
      <c r="O477"/>
      <c r="P477"/>
      <c r="Q477"/>
      <c r="R477"/>
      <c r="S477"/>
      <c r="T477"/>
      <c r="U477"/>
      <c r="V477"/>
      <c r="W477"/>
      <c r="X477"/>
      <c r="Y477"/>
      <c r="Z477"/>
      <c r="AA477"/>
      <c r="AB477"/>
      <c r="AC477"/>
      <c r="AD477"/>
      <c r="AE477"/>
      <c r="AF477"/>
      <c r="AG477"/>
      <c r="AH477"/>
      <c r="AI477"/>
      <c r="AJ477"/>
      <c r="AK477"/>
      <c r="AL477"/>
      <c r="AM477"/>
      <c r="AN477"/>
    </row>
    <row r="478" spans="1:40" x14ac:dyDescent="0.15">
      <c r="A478" s="75">
        <f ca="1">IFERROR(IF(AND(MAX($A$114:A477)&gt;A477+1, MAX($A$114:A477)&gt;20),0,IF(AND(D478="",G478=""),0,IF(OR(D478&gt;LimitSignB10, G478&gt;LimitSignB11),A477+1,0))),"")</f>
        <v>0</v>
      </c>
      <c r="B478" s="76" t="str">
        <f ca="1">IFERROR(MyTime(INDEX(INDIRECT("input!"&amp;$B$112&amp;":"&amp;$B$112),FirstRowInput+Integration*COUNT($B$114:B477)) )* $B$110,"")</f>
        <v/>
      </c>
      <c r="C478" s="77" t="str">
        <f ca="1">IFERROR(AVERAGE(INDEX(INDIRECT("input!" &amp; $C$112 &amp; ":" &amp; $C$112),FirstRowInput+Integration*COUNT($B$114:B477)):INDEX(INDIRECT("input!" &amp; $C$112 &amp; ":" &amp; $C$112),FirstRowInput+Integration*COUNT($B$114:B477)+Integration-1))*$C$110,"")</f>
        <v/>
      </c>
      <c r="D478" s="77" t="str">
        <f ca="1">IFERROR(AVERAGE(INDEX(INDIRECT("input!" &amp; $D$112 &amp; ":" &amp; $D$112),FirstRowInput+Integration*COUNT($B$114:B477)):INDEX(INDIRECT("input!" &amp; $D$112 &amp; ":" &amp; $D$112),FirstRowInput+Integration*COUNT($B$114:B477)+Integration-1))*$D$110,"")</f>
        <v/>
      </c>
      <c r="E478" s="77" t="str">
        <f ca="1">IFERROR(AVERAGE(INDEX(INDIRECT("input!" &amp; $E$112 &amp; ":" &amp; $E$112),FirstRowInput+Integration*COUNT($B$114:B477)):INDEX(INDIRECT("input!" &amp; $E$112 &amp; ":" &amp; $E$112),FirstRowInput+Integration*COUNT($B$114:B477)+Integration-1))*$E$110,"")</f>
        <v/>
      </c>
      <c r="F478" s="77" t="str">
        <f ca="1">IFERROR(AVERAGE(INDEX(INDIRECT("input!" &amp; $F$112 &amp; ":" &amp; $F$112),FirstRowInput+Integration*COUNT($B$114:B477)):INDEX(INDIRECT("input!" &amp; $F$112 &amp; ":" &amp; $F$112),FirstRowInput+Integration*COUNT($B$114:B477)+Integration-1))*$F$110,"")</f>
        <v/>
      </c>
      <c r="G478" s="77" t="str">
        <f ca="1">IFERROR(AVERAGE(INDEX(INDIRECT("input!" &amp; $G$112 &amp; ":" &amp; $G$112),FirstRowInput+Integration*COUNT($B$114:B477)):INDEX(INDIRECT("input!" &amp; $G$112 &amp; ":" &amp; $G$112),FirstRowInput+Integration*COUNT($B$114:B477)+Integration-1))*$G$110,"")</f>
        <v/>
      </c>
      <c r="H478" s="77" t="str">
        <f ca="1">IFERROR(AVERAGE(INDEX(INDIRECT("input!" &amp; $H$112 &amp; ":" &amp; $H$112),FirstRowInput+Integration*COUNT($B$114:B477)):INDEX(INDIRECT("input!" &amp; $H$112 &amp; ":" &amp; $H$112),FirstRowInput+Integration*COUNT($B$114:B477)+Integration-1))*$H$110,"")</f>
        <v/>
      </c>
      <c r="I478" s="42">
        <v>366</v>
      </c>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0" x14ac:dyDescent="0.15">
      <c r="A479" s="75">
        <f ca="1">IFERROR(IF(AND(MAX($A$114:A478)&gt;A478+1, MAX($A$114:A478)&gt;20),0,IF(AND(D479="",G479=""),0,IF(OR(D479&gt;LimitSignB10, G479&gt;LimitSignB11),A478+1,0))),"")</f>
        <v>0</v>
      </c>
      <c r="B479" s="76" t="str">
        <f ca="1">IFERROR(MyTime(INDEX(INDIRECT("input!"&amp;$B$112&amp;":"&amp;$B$112),FirstRowInput+Integration*COUNT($B$114:B478)) )* $B$110,"")</f>
        <v/>
      </c>
      <c r="C479" s="77" t="str">
        <f ca="1">IFERROR(AVERAGE(INDEX(INDIRECT("input!" &amp; $C$112 &amp; ":" &amp; $C$112),FirstRowInput+Integration*COUNT($B$114:B478)):INDEX(INDIRECT("input!" &amp; $C$112 &amp; ":" &amp; $C$112),FirstRowInput+Integration*COUNT($B$114:B478)+Integration-1))*$C$110,"")</f>
        <v/>
      </c>
      <c r="D479" s="77" t="str">
        <f ca="1">IFERROR(AVERAGE(INDEX(INDIRECT("input!" &amp; $D$112 &amp; ":" &amp; $D$112),FirstRowInput+Integration*COUNT($B$114:B478)):INDEX(INDIRECT("input!" &amp; $D$112 &amp; ":" &amp; $D$112),FirstRowInput+Integration*COUNT($B$114:B478)+Integration-1))*$D$110,"")</f>
        <v/>
      </c>
      <c r="E479" s="77" t="str">
        <f ca="1">IFERROR(AVERAGE(INDEX(INDIRECT("input!" &amp; $E$112 &amp; ":" &amp; $E$112),FirstRowInput+Integration*COUNT($B$114:B478)):INDEX(INDIRECT("input!" &amp; $E$112 &amp; ":" &amp; $E$112),FirstRowInput+Integration*COUNT($B$114:B478)+Integration-1))*$E$110,"")</f>
        <v/>
      </c>
      <c r="F479" s="77" t="str">
        <f ca="1">IFERROR(AVERAGE(INDEX(INDIRECT("input!" &amp; $F$112 &amp; ":" &amp; $F$112),FirstRowInput+Integration*COUNT($B$114:B478)):INDEX(INDIRECT("input!" &amp; $F$112 &amp; ":" &amp; $F$112),FirstRowInput+Integration*COUNT($B$114:B478)+Integration-1))*$F$110,"")</f>
        <v/>
      </c>
      <c r="G479" s="77" t="str">
        <f ca="1">IFERROR(AVERAGE(INDEX(INDIRECT("input!" &amp; $G$112 &amp; ":" &amp; $G$112),FirstRowInput+Integration*COUNT($B$114:B478)):INDEX(INDIRECT("input!" &amp; $G$112 &amp; ":" &amp; $G$112),FirstRowInput+Integration*COUNT($B$114:B478)+Integration-1))*$G$110,"")</f>
        <v/>
      </c>
      <c r="H479" s="77" t="str">
        <f ca="1">IFERROR(AVERAGE(INDEX(INDIRECT("input!" &amp; $H$112 &amp; ":" &amp; $H$112),FirstRowInput+Integration*COUNT($B$114:B478)):INDEX(INDIRECT("input!" &amp; $H$112 &amp; ":" &amp; $H$112),FirstRowInput+Integration*COUNT($B$114:B478)+Integration-1))*$H$110,"")</f>
        <v/>
      </c>
      <c r="I479" s="42">
        <v>367</v>
      </c>
      <c r="J479"/>
      <c r="K479"/>
      <c r="L479"/>
      <c r="M479"/>
      <c r="N479"/>
      <c r="O479"/>
      <c r="P479"/>
      <c r="Q479"/>
      <c r="R479"/>
      <c r="S479"/>
      <c r="T479"/>
      <c r="U479"/>
      <c r="V479"/>
      <c r="W479"/>
      <c r="X479"/>
      <c r="Y479"/>
      <c r="Z479"/>
      <c r="AA479"/>
      <c r="AB479"/>
      <c r="AC479"/>
      <c r="AD479"/>
      <c r="AE479"/>
      <c r="AF479"/>
      <c r="AG479"/>
      <c r="AH479"/>
      <c r="AI479"/>
      <c r="AJ479"/>
      <c r="AK479"/>
      <c r="AL479"/>
      <c r="AM479"/>
      <c r="AN479"/>
    </row>
    <row r="480" spans="1:40" x14ac:dyDescent="0.15">
      <c r="A480" s="75">
        <f ca="1">IFERROR(IF(AND(MAX($A$114:A479)&gt;A479+1, MAX($A$114:A479)&gt;20),0,IF(AND(D480="",G480=""),0,IF(OR(D480&gt;LimitSignB10, G480&gt;LimitSignB11),A479+1,0))),"")</f>
        <v>0</v>
      </c>
      <c r="B480" s="76" t="str">
        <f ca="1">IFERROR(MyTime(INDEX(INDIRECT("input!"&amp;$B$112&amp;":"&amp;$B$112),FirstRowInput+Integration*COUNT($B$114:B479)) )* $B$110,"")</f>
        <v/>
      </c>
      <c r="C480" s="77" t="str">
        <f ca="1">IFERROR(AVERAGE(INDEX(INDIRECT("input!" &amp; $C$112 &amp; ":" &amp; $C$112),FirstRowInput+Integration*COUNT($B$114:B479)):INDEX(INDIRECT("input!" &amp; $C$112 &amp; ":" &amp; $C$112),FirstRowInput+Integration*COUNT($B$114:B479)+Integration-1))*$C$110,"")</f>
        <v/>
      </c>
      <c r="D480" s="77" t="str">
        <f ca="1">IFERROR(AVERAGE(INDEX(INDIRECT("input!" &amp; $D$112 &amp; ":" &amp; $D$112),FirstRowInput+Integration*COUNT($B$114:B479)):INDEX(INDIRECT("input!" &amp; $D$112 &amp; ":" &amp; $D$112),FirstRowInput+Integration*COUNT($B$114:B479)+Integration-1))*$D$110,"")</f>
        <v/>
      </c>
      <c r="E480" s="77" t="str">
        <f ca="1">IFERROR(AVERAGE(INDEX(INDIRECT("input!" &amp; $E$112 &amp; ":" &amp; $E$112),FirstRowInput+Integration*COUNT($B$114:B479)):INDEX(INDIRECT("input!" &amp; $E$112 &amp; ":" &amp; $E$112),FirstRowInput+Integration*COUNT($B$114:B479)+Integration-1))*$E$110,"")</f>
        <v/>
      </c>
      <c r="F480" s="77" t="str">
        <f ca="1">IFERROR(AVERAGE(INDEX(INDIRECT("input!" &amp; $F$112 &amp; ":" &amp; $F$112),FirstRowInput+Integration*COUNT($B$114:B479)):INDEX(INDIRECT("input!" &amp; $F$112 &amp; ":" &amp; $F$112),FirstRowInput+Integration*COUNT($B$114:B479)+Integration-1))*$F$110,"")</f>
        <v/>
      </c>
      <c r="G480" s="77" t="str">
        <f ca="1">IFERROR(AVERAGE(INDEX(INDIRECT("input!" &amp; $G$112 &amp; ":" &amp; $G$112),FirstRowInput+Integration*COUNT($B$114:B479)):INDEX(INDIRECT("input!" &amp; $G$112 &amp; ":" &amp; $G$112),FirstRowInput+Integration*COUNT($B$114:B479)+Integration-1))*$G$110,"")</f>
        <v/>
      </c>
      <c r="H480" s="77" t="str">
        <f ca="1">IFERROR(AVERAGE(INDEX(INDIRECT("input!" &amp; $H$112 &amp; ":" &amp; $H$112),FirstRowInput+Integration*COUNT($B$114:B479)):INDEX(INDIRECT("input!" &amp; $H$112 &amp; ":" &amp; $H$112),FirstRowInput+Integration*COUNT($B$114:B479)+Integration-1))*$H$110,"")</f>
        <v/>
      </c>
      <c r="I480" s="42">
        <v>368</v>
      </c>
      <c r="J480"/>
      <c r="K480"/>
      <c r="L480"/>
      <c r="M480"/>
      <c r="N480"/>
      <c r="O480"/>
      <c r="P480"/>
      <c r="Q480"/>
      <c r="R480"/>
      <c r="S480"/>
      <c r="T480"/>
      <c r="U480"/>
      <c r="V480"/>
      <c r="W480"/>
      <c r="X480"/>
      <c r="Y480"/>
      <c r="Z480"/>
      <c r="AA480"/>
      <c r="AB480"/>
      <c r="AC480"/>
      <c r="AD480"/>
      <c r="AE480"/>
      <c r="AF480"/>
      <c r="AG480"/>
      <c r="AH480"/>
      <c r="AI480"/>
      <c r="AJ480"/>
      <c r="AK480"/>
      <c r="AL480"/>
      <c r="AM480"/>
      <c r="AN480"/>
    </row>
    <row r="481" spans="1:40" x14ac:dyDescent="0.15">
      <c r="A481" s="75">
        <f ca="1">IFERROR(IF(AND(MAX($A$114:A480)&gt;A480+1, MAX($A$114:A480)&gt;20),0,IF(AND(D481="",G481=""),0,IF(OR(D481&gt;LimitSignB10, G481&gt;LimitSignB11),A480+1,0))),"")</f>
        <v>0</v>
      </c>
      <c r="B481" s="76" t="str">
        <f ca="1">IFERROR(MyTime(INDEX(INDIRECT("input!"&amp;$B$112&amp;":"&amp;$B$112),FirstRowInput+Integration*COUNT($B$114:B480)) )* $B$110,"")</f>
        <v/>
      </c>
      <c r="C481" s="77" t="str">
        <f ca="1">IFERROR(AVERAGE(INDEX(INDIRECT("input!" &amp; $C$112 &amp; ":" &amp; $C$112),FirstRowInput+Integration*COUNT($B$114:B480)):INDEX(INDIRECT("input!" &amp; $C$112 &amp; ":" &amp; $C$112),FirstRowInput+Integration*COUNT($B$114:B480)+Integration-1))*$C$110,"")</f>
        <v/>
      </c>
      <c r="D481" s="77" t="str">
        <f ca="1">IFERROR(AVERAGE(INDEX(INDIRECT("input!" &amp; $D$112 &amp; ":" &amp; $D$112),FirstRowInput+Integration*COUNT($B$114:B480)):INDEX(INDIRECT("input!" &amp; $D$112 &amp; ":" &amp; $D$112),FirstRowInput+Integration*COUNT($B$114:B480)+Integration-1))*$D$110,"")</f>
        <v/>
      </c>
      <c r="E481" s="77" t="str">
        <f ca="1">IFERROR(AVERAGE(INDEX(INDIRECT("input!" &amp; $E$112 &amp; ":" &amp; $E$112),FirstRowInput+Integration*COUNT($B$114:B480)):INDEX(INDIRECT("input!" &amp; $E$112 &amp; ":" &amp; $E$112),FirstRowInput+Integration*COUNT($B$114:B480)+Integration-1))*$E$110,"")</f>
        <v/>
      </c>
      <c r="F481" s="77" t="str">
        <f ca="1">IFERROR(AVERAGE(INDEX(INDIRECT("input!" &amp; $F$112 &amp; ":" &amp; $F$112),FirstRowInput+Integration*COUNT($B$114:B480)):INDEX(INDIRECT("input!" &amp; $F$112 &amp; ":" &amp; $F$112),FirstRowInput+Integration*COUNT($B$114:B480)+Integration-1))*$F$110,"")</f>
        <v/>
      </c>
      <c r="G481" s="77" t="str">
        <f ca="1">IFERROR(AVERAGE(INDEX(INDIRECT("input!" &amp; $G$112 &amp; ":" &amp; $G$112),FirstRowInput+Integration*COUNT($B$114:B480)):INDEX(INDIRECT("input!" &amp; $G$112 &amp; ":" &amp; $G$112),FirstRowInput+Integration*COUNT($B$114:B480)+Integration-1))*$G$110,"")</f>
        <v/>
      </c>
      <c r="H481" s="77" t="str">
        <f ca="1">IFERROR(AVERAGE(INDEX(INDIRECT("input!" &amp; $H$112 &amp; ":" &amp; $H$112),FirstRowInput+Integration*COUNT($B$114:B480)):INDEX(INDIRECT("input!" &amp; $H$112 &amp; ":" &amp; $H$112),FirstRowInput+Integration*COUNT($B$114:B480)+Integration-1))*$H$110,"")</f>
        <v/>
      </c>
      <c r="I481" s="42">
        <v>369</v>
      </c>
      <c r="J481"/>
      <c r="K481"/>
      <c r="L481"/>
      <c r="M481"/>
      <c r="N481"/>
      <c r="O481"/>
      <c r="P481"/>
      <c r="Q481"/>
      <c r="R481"/>
      <c r="S481"/>
      <c r="T481"/>
      <c r="U481"/>
      <c r="V481"/>
      <c r="W481"/>
      <c r="X481"/>
      <c r="Y481"/>
      <c r="Z481"/>
      <c r="AA481"/>
      <c r="AB481"/>
      <c r="AC481"/>
      <c r="AD481"/>
      <c r="AE481"/>
      <c r="AF481"/>
      <c r="AG481"/>
      <c r="AH481"/>
      <c r="AI481"/>
      <c r="AJ481"/>
      <c r="AK481"/>
      <c r="AL481"/>
      <c r="AM481"/>
      <c r="AN481"/>
    </row>
    <row r="482" spans="1:40" x14ac:dyDescent="0.15">
      <c r="A482" s="75">
        <f ca="1">IFERROR(IF(AND(MAX($A$114:A481)&gt;A481+1, MAX($A$114:A481)&gt;20),0,IF(AND(D482="",G482=""),0,IF(OR(D482&gt;LimitSignB10, G482&gt;LimitSignB11),A481+1,0))),"")</f>
        <v>0</v>
      </c>
      <c r="B482" s="76" t="str">
        <f ca="1">IFERROR(MyTime(INDEX(INDIRECT("input!"&amp;$B$112&amp;":"&amp;$B$112),FirstRowInput+Integration*COUNT($B$114:B481)) )* $B$110,"")</f>
        <v/>
      </c>
      <c r="C482" s="77" t="str">
        <f ca="1">IFERROR(AVERAGE(INDEX(INDIRECT("input!" &amp; $C$112 &amp; ":" &amp; $C$112),FirstRowInput+Integration*COUNT($B$114:B481)):INDEX(INDIRECT("input!" &amp; $C$112 &amp; ":" &amp; $C$112),FirstRowInput+Integration*COUNT($B$114:B481)+Integration-1))*$C$110,"")</f>
        <v/>
      </c>
      <c r="D482" s="77" t="str">
        <f ca="1">IFERROR(AVERAGE(INDEX(INDIRECT("input!" &amp; $D$112 &amp; ":" &amp; $D$112),FirstRowInput+Integration*COUNT($B$114:B481)):INDEX(INDIRECT("input!" &amp; $D$112 &amp; ":" &amp; $D$112),FirstRowInput+Integration*COUNT($B$114:B481)+Integration-1))*$D$110,"")</f>
        <v/>
      </c>
      <c r="E482" s="77" t="str">
        <f ca="1">IFERROR(AVERAGE(INDEX(INDIRECT("input!" &amp; $E$112 &amp; ":" &amp; $E$112),FirstRowInput+Integration*COUNT($B$114:B481)):INDEX(INDIRECT("input!" &amp; $E$112 &amp; ":" &amp; $E$112),FirstRowInput+Integration*COUNT($B$114:B481)+Integration-1))*$E$110,"")</f>
        <v/>
      </c>
      <c r="F482" s="77" t="str">
        <f ca="1">IFERROR(AVERAGE(INDEX(INDIRECT("input!" &amp; $F$112 &amp; ":" &amp; $F$112),FirstRowInput+Integration*COUNT($B$114:B481)):INDEX(INDIRECT("input!" &amp; $F$112 &amp; ":" &amp; $F$112),FirstRowInput+Integration*COUNT($B$114:B481)+Integration-1))*$F$110,"")</f>
        <v/>
      </c>
      <c r="G482" s="77" t="str">
        <f ca="1">IFERROR(AVERAGE(INDEX(INDIRECT("input!" &amp; $G$112 &amp; ":" &amp; $G$112),FirstRowInput+Integration*COUNT($B$114:B481)):INDEX(INDIRECT("input!" &amp; $G$112 &amp; ":" &amp; $G$112),FirstRowInput+Integration*COUNT($B$114:B481)+Integration-1))*$G$110,"")</f>
        <v/>
      </c>
      <c r="H482" s="77" t="str">
        <f ca="1">IFERROR(AVERAGE(INDEX(INDIRECT("input!" &amp; $H$112 &amp; ":" &amp; $H$112),FirstRowInput+Integration*COUNT($B$114:B481)):INDEX(INDIRECT("input!" &amp; $H$112 &amp; ":" &amp; $H$112),FirstRowInput+Integration*COUNT($B$114:B481)+Integration-1))*$H$110,"")</f>
        <v/>
      </c>
      <c r="I482" s="42">
        <v>370</v>
      </c>
      <c r="J482"/>
      <c r="K482"/>
      <c r="L482"/>
      <c r="M482"/>
      <c r="N482"/>
      <c r="O482"/>
      <c r="P482"/>
      <c r="Q482"/>
      <c r="R482"/>
      <c r="S482"/>
      <c r="T482"/>
      <c r="U482"/>
      <c r="V482"/>
      <c r="W482"/>
      <c r="X482"/>
      <c r="Y482"/>
      <c r="Z482"/>
      <c r="AA482"/>
      <c r="AB482"/>
      <c r="AC482"/>
      <c r="AD482"/>
      <c r="AE482"/>
      <c r="AF482"/>
      <c r="AG482"/>
      <c r="AH482"/>
      <c r="AI482"/>
      <c r="AJ482"/>
      <c r="AK482"/>
      <c r="AL482"/>
      <c r="AM482"/>
      <c r="AN482"/>
    </row>
    <row r="483" spans="1:40" x14ac:dyDescent="0.15">
      <c r="A483" s="75">
        <f ca="1">IFERROR(IF(AND(MAX($A$114:A482)&gt;A482+1, MAX($A$114:A482)&gt;20),0,IF(AND(D483="",G483=""),0,IF(OR(D483&gt;LimitSignB10, G483&gt;LimitSignB11),A482+1,0))),"")</f>
        <v>0</v>
      </c>
      <c r="B483" s="76" t="str">
        <f ca="1">IFERROR(MyTime(INDEX(INDIRECT("input!"&amp;$B$112&amp;":"&amp;$B$112),FirstRowInput+Integration*COUNT($B$114:B482)) )* $B$110,"")</f>
        <v/>
      </c>
      <c r="C483" s="77" t="str">
        <f ca="1">IFERROR(AVERAGE(INDEX(INDIRECT("input!" &amp; $C$112 &amp; ":" &amp; $C$112),FirstRowInput+Integration*COUNT($B$114:B482)):INDEX(INDIRECT("input!" &amp; $C$112 &amp; ":" &amp; $C$112),FirstRowInput+Integration*COUNT($B$114:B482)+Integration-1))*$C$110,"")</f>
        <v/>
      </c>
      <c r="D483" s="77" t="str">
        <f ca="1">IFERROR(AVERAGE(INDEX(INDIRECT("input!" &amp; $D$112 &amp; ":" &amp; $D$112),FirstRowInput+Integration*COUNT($B$114:B482)):INDEX(INDIRECT("input!" &amp; $D$112 &amp; ":" &amp; $D$112),FirstRowInput+Integration*COUNT($B$114:B482)+Integration-1))*$D$110,"")</f>
        <v/>
      </c>
      <c r="E483" s="77" t="str">
        <f ca="1">IFERROR(AVERAGE(INDEX(INDIRECT("input!" &amp; $E$112 &amp; ":" &amp; $E$112),FirstRowInput+Integration*COUNT($B$114:B482)):INDEX(INDIRECT("input!" &amp; $E$112 &amp; ":" &amp; $E$112),FirstRowInput+Integration*COUNT($B$114:B482)+Integration-1))*$E$110,"")</f>
        <v/>
      </c>
      <c r="F483" s="77" t="str">
        <f ca="1">IFERROR(AVERAGE(INDEX(INDIRECT("input!" &amp; $F$112 &amp; ":" &amp; $F$112),FirstRowInput+Integration*COUNT($B$114:B482)):INDEX(INDIRECT("input!" &amp; $F$112 &amp; ":" &amp; $F$112),FirstRowInput+Integration*COUNT($B$114:B482)+Integration-1))*$F$110,"")</f>
        <v/>
      </c>
      <c r="G483" s="77" t="str">
        <f ca="1">IFERROR(AVERAGE(INDEX(INDIRECT("input!" &amp; $G$112 &amp; ":" &amp; $G$112),FirstRowInput+Integration*COUNT($B$114:B482)):INDEX(INDIRECT("input!" &amp; $G$112 &amp; ":" &amp; $G$112),FirstRowInput+Integration*COUNT($B$114:B482)+Integration-1))*$G$110,"")</f>
        <v/>
      </c>
      <c r="H483" s="77" t="str">
        <f ca="1">IFERROR(AVERAGE(INDEX(INDIRECT("input!" &amp; $H$112 &amp; ":" &amp; $H$112),FirstRowInput+Integration*COUNT($B$114:B482)):INDEX(INDIRECT("input!" &amp; $H$112 &amp; ":" &amp; $H$112),FirstRowInput+Integration*COUNT($B$114:B482)+Integration-1))*$H$110,"")</f>
        <v/>
      </c>
      <c r="I483" s="42">
        <v>371</v>
      </c>
      <c r="J483"/>
      <c r="K483"/>
      <c r="L483"/>
      <c r="M483"/>
      <c r="N483"/>
      <c r="O483"/>
      <c r="P483"/>
      <c r="Q483"/>
      <c r="R483"/>
      <c r="S483"/>
      <c r="T483"/>
      <c r="U483"/>
      <c r="V483"/>
      <c r="W483"/>
      <c r="X483"/>
      <c r="Y483"/>
      <c r="Z483"/>
      <c r="AA483"/>
      <c r="AB483"/>
      <c r="AC483"/>
      <c r="AD483"/>
      <c r="AE483"/>
      <c r="AF483"/>
      <c r="AG483"/>
      <c r="AH483"/>
      <c r="AI483"/>
      <c r="AJ483"/>
      <c r="AK483"/>
      <c r="AL483"/>
      <c r="AM483"/>
      <c r="AN483"/>
    </row>
    <row r="484" spans="1:40" x14ac:dyDescent="0.15">
      <c r="A484" s="75">
        <f ca="1">IFERROR(IF(AND(MAX($A$114:A483)&gt;A483+1, MAX($A$114:A483)&gt;20),0,IF(AND(D484="",G484=""),0,IF(OR(D484&gt;LimitSignB10, G484&gt;LimitSignB11),A483+1,0))),"")</f>
        <v>0</v>
      </c>
      <c r="B484" s="76" t="str">
        <f ca="1">IFERROR(MyTime(INDEX(INDIRECT("input!"&amp;$B$112&amp;":"&amp;$B$112),FirstRowInput+Integration*COUNT($B$114:B483)) )* $B$110,"")</f>
        <v/>
      </c>
      <c r="C484" s="77" t="str">
        <f ca="1">IFERROR(AVERAGE(INDEX(INDIRECT("input!" &amp; $C$112 &amp; ":" &amp; $C$112),FirstRowInput+Integration*COUNT($B$114:B483)):INDEX(INDIRECT("input!" &amp; $C$112 &amp; ":" &amp; $C$112),FirstRowInput+Integration*COUNT($B$114:B483)+Integration-1))*$C$110,"")</f>
        <v/>
      </c>
      <c r="D484" s="77" t="str">
        <f ca="1">IFERROR(AVERAGE(INDEX(INDIRECT("input!" &amp; $D$112 &amp; ":" &amp; $D$112),FirstRowInput+Integration*COUNT($B$114:B483)):INDEX(INDIRECT("input!" &amp; $D$112 &amp; ":" &amp; $D$112),FirstRowInput+Integration*COUNT($B$114:B483)+Integration-1))*$D$110,"")</f>
        <v/>
      </c>
      <c r="E484" s="77" t="str">
        <f ca="1">IFERROR(AVERAGE(INDEX(INDIRECT("input!" &amp; $E$112 &amp; ":" &amp; $E$112),FirstRowInput+Integration*COUNT($B$114:B483)):INDEX(INDIRECT("input!" &amp; $E$112 &amp; ":" &amp; $E$112),FirstRowInput+Integration*COUNT($B$114:B483)+Integration-1))*$E$110,"")</f>
        <v/>
      </c>
      <c r="F484" s="77" t="str">
        <f ca="1">IFERROR(AVERAGE(INDEX(INDIRECT("input!" &amp; $F$112 &amp; ":" &amp; $F$112),FirstRowInput+Integration*COUNT($B$114:B483)):INDEX(INDIRECT("input!" &amp; $F$112 &amp; ":" &amp; $F$112),FirstRowInput+Integration*COUNT($B$114:B483)+Integration-1))*$F$110,"")</f>
        <v/>
      </c>
      <c r="G484" s="77" t="str">
        <f ca="1">IFERROR(AVERAGE(INDEX(INDIRECT("input!" &amp; $G$112 &amp; ":" &amp; $G$112),FirstRowInput+Integration*COUNT($B$114:B483)):INDEX(INDIRECT("input!" &amp; $G$112 &amp; ":" &amp; $G$112),FirstRowInput+Integration*COUNT($B$114:B483)+Integration-1))*$G$110,"")</f>
        <v/>
      </c>
      <c r="H484" s="77" t="str">
        <f ca="1">IFERROR(AVERAGE(INDEX(INDIRECT("input!" &amp; $H$112 &amp; ":" &amp; $H$112),FirstRowInput+Integration*COUNT($B$114:B483)):INDEX(INDIRECT("input!" &amp; $H$112 &amp; ":" &amp; $H$112),FirstRowInput+Integration*COUNT($B$114:B483)+Integration-1))*$H$110,"")</f>
        <v/>
      </c>
      <c r="I484" s="42">
        <v>372</v>
      </c>
      <c r="J484"/>
      <c r="K484"/>
      <c r="L484"/>
      <c r="M484"/>
      <c r="N484"/>
      <c r="O484"/>
      <c r="P484"/>
      <c r="Q484"/>
      <c r="R484"/>
      <c r="S484"/>
      <c r="T484"/>
      <c r="U484"/>
      <c r="V484"/>
      <c r="W484"/>
      <c r="X484"/>
      <c r="Y484"/>
      <c r="Z484"/>
      <c r="AA484"/>
      <c r="AB484"/>
      <c r="AC484"/>
      <c r="AD484"/>
      <c r="AE484"/>
      <c r="AF484"/>
      <c r="AG484"/>
      <c r="AH484"/>
      <c r="AI484"/>
      <c r="AJ484"/>
      <c r="AK484"/>
      <c r="AL484"/>
      <c r="AM484"/>
      <c r="AN484"/>
    </row>
    <row r="485" spans="1:40" x14ac:dyDescent="0.15">
      <c r="A485" s="75">
        <f ca="1">IFERROR(IF(AND(MAX($A$114:A484)&gt;A484+1, MAX($A$114:A484)&gt;20),0,IF(AND(D485="",G485=""),0,IF(OR(D485&gt;LimitSignB10, G485&gt;LimitSignB11),A484+1,0))),"")</f>
        <v>0</v>
      </c>
      <c r="B485" s="76" t="str">
        <f ca="1">IFERROR(MyTime(INDEX(INDIRECT("input!"&amp;$B$112&amp;":"&amp;$B$112),FirstRowInput+Integration*COUNT($B$114:B484)) )* $B$110,"")</f>
        <v/>
      </c>
      <c r="C485" s="77" t="str">
        <f ca="1">IFERROR(AVERAGE(INDEX(INDIRECT("input!" &amp; $C$112 &amp; ":" &amp; $C$112),FirstRowInput+Integration*COUNT($B$114:B484)):INDEX(INDIRECT("input!" &amp; $C$112 &amp; ":" &amp; $C$112),FirstRowInput+Integration*COUNT($B$114:B484)+Integration-1))*$C$110,"")</f>
        <v/>
      </c>
      <c r="D485" s="77" t="str">
        <f ca="1">IFERROR(AVERAGE(INDEX(INDIRECT("input!" &amp; $D$112 &amp; ":" &amp; $D$112),FirstRowInput+Integration*COUNT($B$114:B484)):INDEX(INDIRECT("input!" &amp; $D$112 &amp; ":" &amp; $D$112),FirstRowInput+Integration*COUNT($B$114:B484)+Integration-1))*$D$110,"")</f>
        <v/>
      </c>
      <c r="E485" s="77" t="str">
        <f ca="1">IFERROR(AVERAGE(INDEX(INDIRECT("input!" &amp; $E$112 &amp; ":" &amp; $E$112),FirstRowInput+Integration*COUNT($B$114:B484)):INDEX(INDIRECT("input!" &amp; $E$112 &amp; ":" &amp; $E$112),FirstRowInput+Integration*COUNT($B$114:B484)+Integration-1))*$E$110,"")</f>
        <v/>
      </c>
      <c r="F485" s="77" t="str">
        <f ca="1">IFERROR(AVERAGE(INDEX(INDIRECT("input!" &amp; $F$112 &amp; ":" &amp; $F$112),FirstRowInput+Integration*COUNT($B$114:B484)):INDEX(INDIRECT("input!" &amp; $F$112 &amp; ":" &amp; $F$112),FirstRowInput+Integration*COUNT($B$114:B484)+Integration-1))*$F$110,"")</f>
        <v/>
      </c>
      <c r="G485" s="77" t="str">
        <f ca="1">IFERROR(AVERAGE(INDEX(INDIRECT("input!" &amp; $G$112 &amp; ":" &amp; $G$112),FirstRowInput+Integration*COUNT($B$114:B484)):INDEX(INDIRECT("input!" &amp; $G$112 &amp; ":" &amp; $G$112),FirstRowInput+Integration*COUNT($B$114:B484)+Integration-1))*$G$110,"")</f>
        <v/>
      </c>
      <c r="H485" s="77" t="str">
        <f ca="1">IFERROR(AVERAGE(INDEX(INDIRECT("input!" &amp; $H$112 &amp; ":" &amp; $H$112),FirstRowInput+Integration*COUNT($B$114:B484)):INDEX(INDIRECT("input!" &amp; $H$112 &amp; ":" &amp; $H$112),FirstRowInput+Integration*COUNT($B$114:B484)+Integration-1))*$H$110,"")</f>
        <v/>
      </c>
      <c r="I485" s="42">
        <v>373</v>
      </c>
      <c r="J485"/>
      <c r="K485"/>
      <c r="L485"/>
      <c r="M485"/>
      <c r="N485"/>
      <c r="O485"/>
      <c r="P485"/>
      <c r="Q485"/>
      <c r="R485"/>
      <c r="S485"/>
      <c r="T485"/>
      <c r="U485"/>
      <c r="V485"/>
      <c r="W485"/>
      <c r="X485"/>
      <c r="Y485"/>
      <c r="Z485"/>
      <c r="AA485"/>
      <c r="AB485"/>
      <c r="AC485"/>
      <c r="AD485"/>
      <c r="AE485"/>
      <c r="AF485"/>
      <c r="AG485"/>
      <c r="AH485"/>
      <c r="AI485"/>
      <c r="AJ485"/>
      <c r="AK485"/>
      <c r="AL485"/>
      <c r="AM485"/>
      <c r="AN485"/>
    </row>
    <row r="486" spans="1:40" x14ac:dyDescent="0.15">
      <c r="A486" s="75">
        <f ca="1">IFERROR(IF(AND(MAX($A$114:A485)&gt;A485+1, MAX($A$114:A485)&gt;20),0,IF(AND(D486="",G486=""),0,IF(OR(D486&gt;LimitSignB10, G486&gt;LimitSignB11),A485+1,0))),"")</f>
        <v>0</v>
      </c>
      <c r="B486" s="76" t="str">
        <f ca="1">IFERROR(MyTime(INDEX(INDIRECT("input!"&amp;$B$112&amp;":"&amp;$B$112),FirstRowInput+Integration*COUNT($B$114:B485)) )* $B$110,"")</f>
        <v/>
      </c>
      <c r="C486" s="77" t="str">
        <f ca="1">IFERROR(AVERAGE(INDEX(INDIRECT("input!" &amp; $C$112 &amp; ":" &amp; $C$112),FirstRowInput+Integration*COUNT($B$114:B485)):INDEX(INDIRECT("input!" &amp; $C$112 &amp; ":" &amp; $C$112),FirstRowInput+Integration*COUNT($B$114:B485)+Integration-1))*$C$110,"")</f>
        <v/>
      </c>
      <c r="D486" s="77" t="str">
        <f ca="1">IFERROR(AVERAGE(INDEX(INDIRECT("input!" &amp; $D$112 &amp; ":" &amp; $D$112),FirstRowInput+Integration*COUNT($B$114:B485)):INDEX(INDIRECT("input!" &amp; $D$112 &amp; ":" &amp; $D$112),FirstRowInput+Integration*COUNT($B$114:B485)+Integration-1))*$D$110,"")</f>
        <v/>
      </c>
      <c r="E486" s="77" t="str">
        <f ca="1">IFERROR(AVERAGE(INDEX(INDIRECT("input!" &amp; $E$112 &amp; ":" &amp; $E$112),FirstRowInput+Integration*COUNT($B$114:B485)):INDEX(INDIRECT("input!" &amp; $E$112 &amp; ":" &amp; $E$112),FirstRowInput+Integration*COUNT($B$114:B485)+Integration-1))*$E$110,"")</f>
        <v/>
      </c>
      <c r="F486" s="77" t="str">
        <f ca="1">IFERROR(AVERAGE(INDEX(INDIRECT("input!" &amp; $F$112 &amp; ":" &amp; $F$112),FirstRowInput+Integration*COUNT($B$114:B485)):INDEX(INDIRECT("input!" &amp; $F$112 &amp; ":" &amp; $F$112),FirstRowInput+Integration*COUNT($B$114:B485)+Integration-1))*$F$110,"")</f>
        <v/>
      </c>
      <c r="G486" s="77" t="str">
        <f ca="1">IFERROR(AVERAGE(INDEX(INDIRECT("input!" &amp; $G$112 &amp; ":" &amp; $G$112),FirstRowInput+Integration*COUNT($B$114:B485)):INDEX(INDIRECT("input!" &amp; $G$112 &amp; ":" &amp; $G$112),FirstRowInput+Integration*COUNT($B$114:B485)+Integration-1))*$G$110,"")</f>
        <v/>
      </c>
      <c r="H486" s="77" t="str">
        <f ca="1">IFERROR(AVERAGE(INDEX(INDIRECT("input!" &amp; $H$112 &amp; ":" &amp; $H$112),FirstRowInput+Integration*COUNT($B$114:B485)):INDEX(INDIRECT("input!" &amp; $H$112 &amp; ":" &amp; $H$112),FirstRowInput+Integration*COUNT($B$114:B485)+Integration-1))*$H$110,"")</f>
        <v/>
      </c>
      <c r="I486" s="42">
        <v>374</v>
      </c>
      <c r="J486"/>
      <c r="K486"/>
      <c r="L486"/>
      <c r="M486"/>
      <c r="N486"/>
      <c r="O486"/>
      <c r="P486"/>
      <c r="Q486"/>
      <c r="R486"/>
      <c r="S486"/>
      <c r="T486"/>
      <c r="U486"/>
      <c r="V486"/>
      <c r="W486"/>
      <c r="X486"/>
      <c r="Y486"/>
      <c r="Z486"/>
      <c r="AA486"/>
      <c r="AB486"/>
      <c r="AC486"/>
      <c r="AD486"/>
      <c r="AE486"/>
      <c r="AF486"/>
      <c r="AG486"/>
      <c r="AH486"/>
      <c r="AI486"/>
      <c r="AJ486"/>
      <c r="AK486"/>
      <c r="AL486"/>
      <c r="AM486"/>
      <c r="AN486"/>
    </row>
    <row r="487" spans="1:40" x14ac:dyDescent="0.15">
      <c r="A487" s="75">
        <f ca="1">IFERROR(IF(AND(MAX($A$114:A486)&gt;A486+1, MAX($A$114:A486)&gt;20),0,IF(AND(D487="",G487=""),0,IF(OR(D487&gt;LimitSignB10, G487&gt;LimitSignB11),A486+1,0))),"")</f>
        <v>0</v>
      </c>
      <c r="B487" s="76" t="str">
        <f ca="1">IFERROR(MyTime(INDEX(INDIRECT("input!"&amp;$B$112&amp;":"&amp;$B$112),FirstRowInput+Integration*COUNT($B$114:B486)) )* $B$110,"")</f>
        <v/>
      </c>
      <c r="C487" s="77" t="str">
        <f ca="1">IFERROR(AVERAGE(INDEX(INDIRECT("input!" &amp; $C$112 &amp; ":" &amp; $C$112),FirstRowInput+Integration*COUNT($B$114:B486)):INDEX(INDIRECT("input!" &amp; $C$112 &amp; ":" &amp; $C$112),FirstRowInput+Integration*COUNT($B$114:B486)+Integration-1))*$C$110,"")</f>
        <v/>
      </c>
      <c r="D487" s="77" t="str">
        <f ca="1">IFERROR(AVERAGE(INDEX(INDIRECT("input!" &amp; $D$112 &amp; ":" &amp; $D$112),FirstRowInput+Integration*COUNT($B$114:B486)):INDEX(INDIRECT("input!" &amp; $D$112 &amp; ":" &amp; $D$112),FirstRowInput+Integration*COUNT($B$114:B486)+Integration-1))*$D$110,"")</f>
        <v/>
      </c>
      <c r="E487" s="77" t="str">
        <f ca="1">IFERROR(AVERAGE(INDEX(INDIRECT("input!" &amp; $E$112 &amp; ":" &amp; $E$112),FirstRowInput+Integration*COUNT($B$114:B486)):INDEX(INDIRECT("input!" &amp; $E$112 &amp; ":" &amp; $E$112),FirstRowInput+Integration*COUNT($B$114:B486)+Integration-1))*$E$110,"")</f>
        <v/>
      </c>
      <c r="F487" s="77" t="str">
        <f ca="1">IFERROR(AVERAGE(INDEX(INDIRECT("input!" &amp; $F$112 &amp; ":" &amp; $F$112),FirstRowInput+Integration*COUNT($B$114:B486)):INDEX(INDIRECT("input!" &amp; $F$112 &amp; ":" &amp; $F$112),FirstRowInput+Integration*COUNT($B$114:B486)+Integration-1))*$F$110,"")</f>
        <v/>
      </c>
      <c r="G487" s="77" t="str">
        <f ca="1">IFERROR(AVERAGE(INDEX(INDIRECT("input!" &amp; $G$112 &amp; ":" &amp; $G$112),FirstRowInput+Integration*COUNT($B$114:B486)):INDEX(INDIRECT("input!" &amp; $G$112 &amp; ":" &amp; $G$112),FirstRowInput+Integration*COUNT($B$114:B486)+Integration-1))*$G$110,"")</f>
        <v/>
      </c>
      <c r="H487" s="77" t="str">
        <f ca="1">IFERROR(AVERAGE(INDEX(INDIRECT("input!" &amp; $H$112 &amp; ":" &amp; $H$112),FirstRowInput+Integration*COUNT($B$114:B486)):INDEX(INDIRECT("input!" &amp; $H$112 &amp; ":" &amp; $H$112),FirstRowInput+Integration*COUNT($B$114:B486)+Integration-1))*$H$110,"")</f>
        <v/>
      </c>
      <c r="I487" s="42">
        <v>375</v>
      </c>
      <c r="J487"/>
      <c r="K487"/>
      <c r="L487"/>
      <c r="M487"/>
      <c r="N487"/>
      <c r="O487"/>
      <c r="P487"/>
      <c r="Q487"/>
      <c r="R487"/>
      <c r="S487"/>
      <c r="T487"/>
      <c r="U487"/>
      <c r="V487"/>
      <c r="W487"/>
      <c r="X487"/>
      <c r="Y487"/>
      <c r="Z487"/>
      <c r="AA487"/>
      <c r="AB487"/>
      <c r="AC487"/>
      <c r="AD487"/>
      <c r="AE487"/>
      <c r="AF487"/>
      <c r="AG487"/>
      <c r="AH487"/>
      <c r="AI487"/>
      <c r="AJ487"/>
      <c r="AK487"/>
      <c r="AL487"/>
      <c r="AM487"/>
      <c r="AN487"/>
    </row>
    <row r="488" spans="1:40" x14ac:dyDescent="0.15">
      <c r="A488" s="75">
        <f ca="1">IFERROR(IF(AND(MAX($A$114:A487)&gt;A487+1, MAX($A$114:A487)&gt;20),0,IF(AND(D488="",G488=""),0,IF(OR(D488&gt;LimitSignB10, G488&gt;LimitSignB11),A487+1,0))),"")</f>
        <v>0</v>
      </c>
      <c r="B488" s="76" t="str">
        <f ca="1">IFERROR(MyTime(INDEX(INDIRECT("input!"&amp;$B$112&amp;":"&amp;$B$112),FirstRowInput+Integration*COUNT($B$114:B487)) )* $B$110,"")</f>
        <v/>
      </c>
      <c r="C488" s="77" t="str">
        <f ca="1">IFERROR(AVERAGE(INDEX(INDIRECT("input!" &amp; $C$112 &amp; ":" &amp; $C$112),FirstRowInput+Integration*COUNT($B$114:B487)):INDEX(INDIRECT("input!" &amp; $C$112 &amp; ":" &amp; $C$112),FirstRowInput+Integration*COUNT($B$114:B487)+Integration-1))*$C$110,"")</f>
        <v/>
      </c>
      <c r="D488" s="77" t="str">
        <f ca="1">IFERROR(AVERAGE(INDEX(INDIRECT("input!" &amp; $D$112 &amp; ":" &amp; $D$112),FirstRowInput+Integration*COUNT($B$114:B487)):INDEX(INDIRECT("input!" &amp; $D$112 &amp; ":" &amp; $D$112),FirstRowInput+Integration*COUNT($B$114:B487)+Integration-1))*$D$110,"")</f>
        <v/>
      </c>
      <c r="E488" s="77" t="str">
        <f ca="1">IFERROR(AVERAGE(INDEX(INDIRECT("input!" &amp; $E$112 &amp; ":" &amp; $E$112),FirstRowInput+Integration*COUNT($B$114:B487)):INDEX(INDIRECT("input!" &amp; $E$112 &amp; ":" &amp; $E$112),FirstRowInput+Integration*COUNT($B$114:B487)+Integration-1))*$E$110,"")</f>
        <v/>
      </c>
      <c r="F488" s="77" t="str">
        <f ca="1">IFERROR(AVERAGE(INDEX(INDIRECT("input!" &amp; $F$112 &amp; ":" &amp; $F$112),FirstRowInput+Integration*COUNT($B$114:B487)):INDEX(INDIRECT("input!" &amp; $F$112 &amp; ":" &amp; $F$112),FirstRowInput+Integration*COUNT($B$114:B487)+Integration-1))*$F$110,"")</f>
        <v/>
      </c>
      <c r="G488" s="77" t="str">
        <f ca="1">IFERROR(AVERAGE(INDEX(INDIRECT("input!" &amp; $G$112 &amp; ":" &amp; $G$112),FirstRowInput+Integration*COUNT($B$114:B487)):INDEX(INDIRECT("input!" &amp; $G$112 &amp; ":" &amp; $G$112),FirstRowInput+Integration*COUNT($B$114:B487)+Integration-1))*$G$110,"")</f>
        <v/>
      </c>
      <c r="H488" s="77" t="str">
        <f ca="1">IFERROR(AVERAGE(INDEX(INDIRECT("input!" &amp; $H$112 &amp; ":" &amp; $H$112),FirstRowInput+Integration*COUNT($B$114:B487)):INDEX(INDIRECT("input!" &amp; $H$112 &amp; ":" &amp; $H$112),FirstRowInput+Integration*COUNT($B$114:B487)+Integration-1))*$H$110,"")</f>
        <v/>
      </c>
      <c r="I488" s="42">
        <v>376</v>
      </c>
      <c r="J488"/>
      <c r="K488"/>
      <c r="L488"/>
      <c r="M488"/>
      <c r="N488"/>
      <c r="O488"/>
      <c r="P488"/>
      <c r="Q488"/>
      <c r="R488"/>
      <c r="S488"/>
      <c r="T488"/>
      <c r="U488"/>
      <c r="V488"/>
      <c r="W488"/>
      <c r="X488"/>
      <c r="Y488"/>
      <c r="Z488"/>
      <c r="AA488"/>
      <c r="AB488"/>
      <c r="AC488"/>
      <c r="AD488"/>
      <c r="AE488"/>
      <c r="AF488"/>
      <c r="AG488"/>
      <c r="AH488"/>
      <c r="AI488"/>
      <c r="AJ488"/>
      <c r="AK488"/>
      <c r="AL488"/>
      <c r="AM488"/>
      <c r="AN488"/>
    </row>
    <row r="489" spans="1:40" x14ac:dyDescent="0.15">
      <c r="A489" s="75">
        <f ca="1">IFERROR(IF(AND(MAX($A$114:A488)&gt;A488+1, MAX($A$114:A488)&gt;20),0,IF(AND(D489="",G489=""),0,IF(OR(D489&gt;LimitSignB10, G489&gt;LimitSignB11),A488+1,0))),"")</f>
        <v>0</v>
      </c>
      <c r="B489" s="76" t="str">
        <f ca="1">IFERROR(MyTime(INDEX(INDIRECT("input!"&amp;$B$112&amp;":"&amp;$B$112),FirstRowInput+Integration*COUNT($B$114:B488)) )* $B$110,"")</f>
        <v/>
      </c>
      <c r="C489" s="77" t="str">
        <f ca="1">IFERROR(AVERAGE(INDEX(INDIRECT("input!" &amp; $C$112 &amp; ":" &amp; $C$112),FirstRowInput+Integration*COUNT($B$114:B488)):INDEX(INDIRECT("input!" &amp; $C$112 &amp; ":" &amp; $C$112),FirstRowInput+Integration*COUNT($B$114:B488)+Integration-1))*$C$110,"")</f>
        <v/>
      </c>
      <c r="D489" s="77" t="str">
        <f ca="1">IFERROR(AVERAGE(INDEX(INDIRECT("input!" &amp; $D$112 &amp; ":" &amp; $D$112),FirstRowInput+Integration*COUNT($B$114:B488)):INDEX(INDIRECT("input!" &amp; $D$112 &amp; ":" &amp; $D$112),FirstRowInput+Integration*COUNT($B$114:B488)+Integration-1))*$D$110,"")</f>
        <v/>
      </c>
      <c r="E489" s="77" t="str">
        <f ca="1">IFERROR(AVERAGE(INDEX(INDIRECT("input!" &amp; $E$112 &amp; ":" &amp; $E$112),FirstRowInput+Integration*COUNT($B$114:B488)):INDEX(INDIRECT("input!" &amp; $E$112 &amp; ":" &amp; $E$112),FirstRowInput+Integration*COUNT($B$114:B488)+Integration-1))*$E$110,"")</f>
        <v/>
      </c>
      <c r="F489" s="77" t="str">
        <f ca="1">IFERROR(AVERAGE(INDEX(INDIRECT("input!" &amp; $F$112 &amp; ":" &amp; $F$112),FirstRowInput+Integration*COUNT($B$114:B488)):INDEX(INDIRECT("input!" &amp; $F$112 &amp; ":" &amp; $F$112),FirstRowInput+Integration*COUNT($B$114:B488)+Integration-1))*$F$110,"")</f>
        <v/>
      </c>
      <c r="G489" s="77" t="str">
        <f ca="1">IFERROR(AVERAGE(INDEX(INDIRECT("input!" &amp; $G$112 &amp; ":" &amp; $G$112),FirstRowInput+Integration*COUNT($B$114:B488)):INDEX(INDIRECT("input!" &amp; $G$112 &amp; ":" &amp; $G$112),FirstRowInput+Integration*COUNT($B$114:B488)+Integration-1))*$G$110,"")</f>
        <v/>
      </c>
      <c r="H489" s="77" t="str">
        <f ca="1">IFERROR(AVERAGE(INDEX(INDIRECT("input!" &amp; $H$112 &amp; ":" &amp; $H$112),FirstRowInput+Integration*COUNT($B$114:B488)):INDEX(INDIRECT("input!" &amp; $H$112 &amp; ":" &amp; $H$112),FirstRowInput+Integration*COUNT($B$114:B488)+Integration-1))*$H$110,"")</f>
        <v/>
      </c>
      <c r="I489" s="42">
        <v>377</v>
      </c>
      <c r="J489"/>
      <c r="K489"/>
      <c r="L489"/>
      <c r="M489"/>
      <c r="N489"/>
      <c r="O489"/>
      <c r="P489"/>
      <c r="Q489"/>
      <c r="R489"/>
      <c r="S489"/>
      <c r="T489"/>
      <c r="U489"/>
      <c r="V489"/>
      <c r="W489"/>
      <c r="X489"/>
      <c r="Y489"/>
      <c r="Z489"/>
      <c r="AA489"/>
      <c r="AB489"/>
      <c r="AC489"/>
      <c r="AD489"/>
      <c r="AE489"/>
      <c r="AF489"/>
      <c r="AG489"/>
      <c r="AH489"/>
      <c r="AI489"/>
      <c r="AJ489"/>
      <c r="AK489"/>
      <c r="AL489"/>
      <c r="AM489"/>
      <c r="AN489"/>
    </row>
    <row r="490" spans="1:40" x14ac:dyDescent="0.15">
      <c r="A490" s="75">
        <f ca="1">IFERROR(IF(AND(MAX($A$114:A489)&gt;A489+1, MAX($A$114:A489)&gt;20),0,IF(AND(D490="",G490=""),0,IF(OR(D490&gt;LimitSignB10, G490&gt;LimitSignB11),A489+1,0))),"")</f>
        <v>0</v>
      </c>
      <c r="B490" s="76" t="str">
        <f ca="1">IFERROR(MyTime(INDEX(INDIRECT("input!"&amp;$B$112&amp;":"&amp;$B$112),FirstRowInput+Integration*COUNT($B$114:B489)) )* $B$110,"")</f>
        <v/>
      </c>
      <c r="C490" s="77" t="str">
        <f ca="1">IFERROR(AVERAGE(INDEX(INDIRECT("input!" &amp; $C$112 &amp; ":" &amp; $C$112),FirstRowInput+Integration*COUNT($B$114:B489)):INDEX(INDIRECT("input!" &amp; $C$112 &amp; ":" &amp; $C$112),FirstRowInput+Integration*COUNT($B$114:B489)+Integration-1))*$C$110,"")</f>
        <v/>
      </c>
      <c r="D490" s="77" t="str">
        <f ca="1">IFERROR(AVERAGE(INDEX(INDIRECT("input!" &amp; $D$112 &amp; ":" &amp; $D$112),FirstRowInput+Integration*COUNT($B$114:B489)):INDEX(INDIRECT("input!" &amp; $D$112 &amp; ":" &amp; $D$112),FirstRowInput+Integration*COUNT($B$114:B489)+Integration-1))*$D$110,"")</f>
        <v/>
      </c>
      <c r="E490" s="77" t="str">
        <f ca="1">IFERROR(AVERAGE(INDEX(INDIRECT("input!" &amp; $E$112 &amp; ":" &amp; $E$112),FirstRowInput+Integration*COUNT($B$114:B489)):INDEX(INDIRECT("input!" &amp; $E$112 &amp; ":" &amp; $E$112),FirstRowInput+Integration*COUNT($B$114:B489)+Integration-1))*$E$110,"")</f>
        <v/>
      </c>
      <c r="F490" s="77" t="str">
        <f ca="1">IFERROR(AVERAGE(INDEX(INDIRECT("input!" &amp; $F$112 &amp; ":" &amp; $F$112),FirstRowInput+Integration*COUNT($B$114:B489)):INDEX(INDIRECT("input!" &amp; $F$112 &amp; ":" &amp; $F$112),FirstRowInput+Integration*COUNT($B$114:B489)+Integration-1))*$F$110,"")</f>
        <v/>
      </c>
      <c r="G490" s="77" t="str">
        <f ca="1">IFERROR(AVERAGE(INDEX(INDIRECT("input!" &amp; $G$112 &amp; ":" &amp; $G$112),FirstRowInput+Integration*COUNT($B$114:B489)):INDEX(INDIRECT("input!" &amp; $G$112 &amp; ":" &amp; $G$112),FirstRowInput+Integration*COUNT($B$114:B489)+Integration-1))*$G$110,"")</f>
        <v/>
      </c>
      <c r="H490" s="77" t="str">
        <f ca="1">IFERROR(AVERAGE(INDEX(INDIRECT("input!" &amp; $H$112 &amp; ":" &amp; $H$112),FirstRowInput+Integration*COUNT($B$114:B489)):INDEX(INDIRECT("input!" &amp; $H$112 &amp; ":" &amp; $H$112),FirstRowInput+Integration*COUNT($B$114:B489)+Integration-1))*$H$110,"")</f>
        <v/>
      </c>
      <c r="I490" s="42">
        <v>378</v>
      </c>
      <c r="J490"/>
      <c r="K490"/>
      <c r="L490"/>
      <c r="M490"/>
      <c r="N490"/>
      <c r="O490"/>
      <c r="P490"/>
      <c r="Q490"/>
      <c r="R490"/>
      <c r="S490"/>
      <c r="T490"/>
      <c r="U490"/>
      <c r="V490"/>
      <c r="W490"/>
      <c r="X490"/>
      <c r="Y490"/>
      <c r="Z490"/>
      <c r="AA490"/>
      <c r="AB490"/>
      <c r="AC490"/>
      <c r="AD490"/>
      <c r="AE490"/>
      <c r="AF490"/>
      <c r="AG490"/>
      <c r="AH490"/>
      <c r="AI490"/>
      <c r="AJ490"/>
      <c r="AK490"/>
      <c r="AL490"/>
      <c r="AM490"/>
      <c r="AN490"/>
    </row>
    <row r="491" spans="1:40" x14ac:dyDescent="0.15">
      <c r="A491" s="75">
        <f ca="1">IFERROR(IF(AND(MAX($A$114:A490)&gt;A490+1, MAX($A$114:A490)&gt;20),0,IF(AND(D491="",G491=""),0,IF(OR(D491&gt;LimitSignB10, G491&gt;LimitSignB11),A490+1,0))),"")</f>
        <v>0</v>
      </c>
      <c r="B491" s="76" t="str">
        <f ca="1">IFERROR(MyTime(INDEX(INDIRECT("input!"&amp;$B$112&amp;":"&amp;$B$112),FirstRowInput+Integration*COUNT($B$114:B490)) )* $B$110,"")</f>
        <v/>
      </c>
      <c r="C491" s="77" t="str">
        <f ca="1">IFERROR(AVERAGE(INDEX(INDIRECT("input!" &amp; $C$112 &amp; ":" &amp; $C$112),FirstRowInput+Integration*COUNT($B$114:B490)):INDEX(INDIRECT("input!" &amp; $C$112 &amp; ":" &amp; $C$112),FirstRowInput+Integration*COUNT($B$114:B490)+Integration-1))*$C$110,"")</f>
        <v/>
      </c>
      <c r="D491" s="77" t="str">
        <f ca="1">IFERROR(AVERAGE(INDEX(INDIRECT("input!" &amp; $D$112 &amp; ":" &amp; $D$112),FirstRowInput+Integration*COUNT($B$114:B490)):INDEX(INDIRECT("input!" &amp; $D$112 &amp; ":" &amp; $D$112),FirstRowInput+Integration*COUNT($B$114:B490)+Integration-1))*$D$110,"")</f>
        <v/>
      </c>
      <c r="E491" s="77" t="str">
        <f ca="1">IFERROR(AVERAGE(INDEX(INDIRECT("input!" &amp; $E$112 &amp; ":" &amp; $E$112),FirstRowInput+Integration*COUNT($B$114:B490)):INDEX(INDIRECT("input!" &amp; $E$112 &amp; ":" &amp; $E$112),FirstRowInput+Integration*COUNT($B$114:B490)+Integration-1))*$E$110,"")</f>
        <v/>
      </c>
      <c r="F491" s="77" t="str">
        <f ca="1">IFERROR(AVERAGE(INDEX(INDIRECT("input!" &amp; $F$112 &amp; ":" &amp; $F$112),FirstRowInput+Integration*COUNT($B$114:B490)):INDEX(INDIRECT("input!" &amp; $F$112 &amp; ":" &amp; $F$112),FirstRowInput+Integration*COUNT($B$114:B490)+Integration-1))*$F$110,"")</f>
        <v/>
      </c>
      <c r="G491" s="77" t="str">
        <f ca="1">IFERROR(AVERAGE(INDEX(INDIRECT("input!" &amp; $G$112 &amp; ":" &amp; $G$112),FirstRowInput+Integration*COUNT($B$114:B490)):INDEX(INDIRECT("input!" &amp; $G$112 &amp; ":" &amp; $G$112),FirstRowInput+Integration*COUNT($B$114:B490)+Integration-1))*$G$110,"")</f>
        <v/>
      </c>
      <c r="H491" s="77" t="str">
        <f ca="1">IFERROR(AVERAGE(INDEX(INDIRECT("input!" &amp; $H$112 &amp; ":" &amp; $H$112),FirstRowInput+Integration*COUNT($B$114:B490)):INDEX(INDIRECT("input!" &amp; $H$112 &amp; ":" &amp; $H$112),FirstRowInput+Integration*COUNT($B$114:B490)+Integration-1))*$H$110,"")</f>
        <v/>
      </c>
      <c r="I491" s="42">
        <v>379</v>
      </c>
      <c r="J491"/>
      <c r="K491"/>
      <c r="L491"/>
      <c r="M491"/>
      <c r="N491"/>
      <c r="O491"/>
      <c r="P491"/>
      <c r="Q491"/>
      <c r="R491"/>
      <c r="S491"/>
      <c r="T491"/>
      <c r="U491"/>
      <c r="V491"/>
      <c r="W491"/>
      <c r="X491"/>
      <c r="Y491"/>
      <c r="Z491"/>
      <c r="AA491"/>
      <c r="AB491"/>
      <c r="AC491"/>
      <c r="AD491"/>
      <c r="AE491"/>
      <c r="AF491"/>
      <c r="AG491"/>
      <c r="AH491"/>
      <c r="AI491"/>
      <c r="AJ491"/>
      <c r="AK491"/>
      <c r="AL491"/>
      <c r="AM491"/>
      <c r="AN491"/>
    </row>
    <row r="492" spans="1:40" x14ac:dyDescent="0.15">
      <c r="A492" s="75">
        <f ca="1">IFERROR(IF(AND(MAX($A$114:A491)&gt;A491+1, MAX($A$114:A491)&gt;20),0,IF(AND(D492="",G492=""),0,IF(OR(D492&gt;LimitSignB10, G492&gt;LimitSignB11),A491+1,0))),"")</f>
        <v>0</v>
      </c>
      <c r="B492" s="76" t="str">
        <f ca="1">IFERROR(MyTime(INDEX(INDIRECT("input!"&amp;$B$112&amp;":"&amp;$B$112),FirstRowInput+Integration*COUNT($B$114:B491)) )* $B$110,"")</f>
        <v/>
      </c>
      <c r="C492" s="77" t="str">
        <f ca="1">IFERROR(AVERAGE(INDEX(INDIRECT("input!" &amp; $C$112 &amp; ":" &amp; $C$112),FirstRowInput+Integration*COUNT($B$114:B491)):INDEX(INDIRECT("input!" &amp; $C$112 &amp; ":" &amp; $C$112),FirstRowInput+Integration*COUNT($B$114:B491)+Integration-1))*$C$110,"")</f>
        <v/>
      </c>
      <c r="D492" s="77" t="str">
        <f ca="1">IFERROR(AVERAGE(INDEX(INDIRECT("input!" &amp; $D$112 &amp; ":" &amp; $D$112),FirstRowInput+Integration*COUNT($B$114:B491)):INDEX(INDIRECT("input!" &amp; $D$112 &amp; ":" &amp; $D$112),FirstRowInput+Integration*COUNT($B$114:B491)+Integration-1))*$D$110,"")</f>
        <v/>
      </c>
      <c r="E492" s="77" t="str">
        <f ca="1">IFERROR(AVERAGE(INDEX(INDIRECT("input!" &amp; $E$112 &amp; ":" &amp; $E$112),FirstRowInput+Integration*COUNT($B$114:B491)):INDEX(INDIRECT("input!" &amp; $E$112 &amp; ":" &amp; $E$112),FirstRowInput+Integration*COUNT($B$114:B491)+Integration-1))*$E$110,"")</f>
        <v/>
      </c>
      <c r="F492" s="77" t="str">
        <f ca="1">IFERROR(AVERAGE(INDEX(INDIRECT("input!" &amp; $F$112 &amp; ":" &amp; $F$112),FirstRowInput+Integration*COUNT($B$114:B491)):INDEX(INDIRECT("input!" &amp; $F$112 &amp; ":" &amp; $F$112),FirstRowInput+Integration*COUNT($B$114:B491)+Integration-1))*$F$110,"")</f>
        <v/>
      </c>
      <c r="G492" s="77" t="str">
        <f ca="1">IFERROR(AVERAGE(INDEX(INDIRECT("input!" &amp; $G$112 &amp; ":" &amp; $G$112),FirstRowInput+Integration*COUNT($B$114:B491)):INDEX(INDIRECT("input!" &amp; $G$112 &amp; ":" &amp; $G$112),FirstRowInput+Integration*COUNT($B$114:B491)+Integration-1))*$G$110,"")</f>
        <v/>
      </c>
      <c r="H492" s="77" t="str">
        <f ca="1">IFERROR(AVERAGE(INDEX(INDIRECT("input!" &amp; $H$112 &amp; ":" &amp; $H$112),FirstRowInput+Integration*COUNT($B$114:B491)):INDEX(INDIRECT("input!" &amp; $H$112 &amp; ":" &amp; $H$112),FirstRowInput+Integration*COUNT($B$114:B491)+Integration-1))*$H$110,"")</f>
        <v/>
      </c>
      <c r="I492" s="42">
        <v>380</v>
      </c>
      <c r="J492"/>
      <c r="K492"/>
      <c r="L492"/>
      <c r="M492"/>
      <c r="N492"/>
      <c r="O492"/>
      <c r="P492"/>
      <c r="Q492"/>
      <c r="R492"/>
      <c r="S492"/>
      <c r="T492"/>
      <c r="U492"/>
      <c r="V492"/>
      <c r="W492"/>
      <c r="X492"/>
      <c r="Y492"/>
      <c r="Z492"/>
      <c r="AA492"/>
      <c r="AB492"/>
      <c r="AC492"/>
      <c r="AD492"/>
      <c r="AE492"/>
      <c r="AF492"/>
      <c r="AG492"/>
      <c r="AH492"/>
      <c r="AI492"/>
      <c r="AJ492"/>
      <c r="AK492"/>
      <c r="AL492"/>
      <c r="AM492"/>
      <c r="AN492"/>
    </row>
    <row r="493" spans="1:40" x14ac:dyDescent="0.15">
      <c r="A493" s="75">
        <f ca="1">IFERROR(IF(AND(MAX($A$114:A492)&gt;A492+1, MAX($A$114:A492)&gt;20),0,IF(AND(D493="",G493=""),0,IF(OR(D493&gt;LimitSignB10, G493&gt;LimitSignB11),A492+1,0))),"")</f>
        <v>0</v>
      </c>
      <c r="B493" s="76" t="str">
        <f ca="1">IFERROR(MyTime(INDEX(INDIRECT("input!"&amp;$B$112&amp;":"&amp;$B$112),FirstRowInput+Integration*COUNT($B$114:B492)) )* $B$110,"")</f>
        <v/>
      </c>
      <c r="C493" s="77" t="str">
        <f ca="1">IFERROR(AVERAGE(INDEX(INDIRECT("input!" &amp; $C$112 &amp; ":" &amp; $C$112),FirstRowInput+Integration*COUNT($B$114:B492)):INDEX(INDIRECT("input!" &amp; $C$112 &amp; ":" &amp; $C$112),FirstRowInput+Integration*COUNT($B$114:B492)+Integration-1))*$C$110,"")</f>
        <v/>
      </c>
      <c r="D493" s="77" t="str">
        <f ca="1">IFERROR(AVERAGE(INDEX(INDIRECT("input!" &amp; $D$112 &amp; ":" &amp; $D$112),FirstRowInput+Integration*COUNT($B$114:B492)):INDEX(INDIRECT("input!" &amp; $D$112 &amp; ":" &amp; $D$112),FirstRowInput+Integration*COUNT($B$114:B492)+Integration-1))*$D$110,"")</f>
        <v/>
      </c>
      <c r="E493" s="77" t="str">
        <f ca="1">IFERROR(AVERAGE(INDEX(INDIRECT("input!" &amp; $E$112 &amp; ":" &amp; $E$112),FirstRowInput+Integration*COUNT($B$114:B492)):INDEX(INDIRECT("input!" &amp; $E$112 &amp; ":" &amp; $E$112),FirstRowInput+Integration*COUNT($B$114:B492)+Integration-1))*$E$110,"")</f>
        <v/>
      </c>
      <c r="F493" s="77" t="str">
        <f ca="1">IFERROR(AVERAGE(INDEX(INDIRECT("input!" &amp; $F$112 &amp; ":" &amp; $F$112),FirstRowInput+Integration*COUNT($B$114:B492)):INDEX(INDIRECT("input!" &amp; $F$112 &amp; ":" &amp; $F$112),FirstRowInput+Integration*COUNT($B$114:B492)+Integration-1))*$F$110,"")</f>
        <v/>
      </c>
      <c r="G493" s="77" t="str">
        <f ca="1">IFERROR(AVERAGE(INDEX(INDIRECT("input!" &amp; $G$112 &amp; ":" &amp; $G$112),FirstRowInput+Integration*COUNT($B$114:B492)):INDEX(INDIRECT("input!" &amp; $G$112 &amp; ":" &amp; $G$112),FirstRowInput+Integration*COUNT($B$114:B492)+Integration-1))*$G$110,"")</f>
        <v/>
      </c>
      <c r="H493" s="77" t="str">
        <f ca="1">IFERROR(AVERAGE(INDEX(INDIRECT("input!" &amp; $H$112 &amp; ":" &amp; $H$112),FirstRowInput+Integration*COUNT($B$114:B492)):INDEX(INDIRECT("input!" &amp; $H$112 &amp; ":" &amp; $H$112),FirstRowInput+Integration*COUNT($B$114:B492)+Integration-1))*$H$110,"")</f>
        <v/>
      </c>
      <c r="I493" s="42">
        <v>381</v>
      </c>
      <c r="J493"/>
      <c r="K493"/>
      <c r="L493"/>
      <c r="M493"/>
      <c r="N493"/>
      <c r="O493"/>
      <c r="P493"/>
      <c r="Q493"/>
      <c r="R493"/>
      <c r="S493"/>
      <c r="T493"/>
      <c r="U493"/>
      <c r="V493"/>
      <c r="W493"/>
      <c r="X493"/>
      <c r="Y493"/>
      <c r="Z493"/>
      <c r="AA493"/>
      <c r="AB493"/>
      <c r="AC493"/>
      <c r="AD493"/>
      <c r="AE493"/>
      <c r="AF493"/>
      <c r="AG493"/>
      <c r="AH493"/>
      <c r="AI493"/>
      <c r="AJ493"/>
      <c r="AK493"/>
      <c r="AL493"/>
      <c r="AM493"/>
      <c r="AN493"/>
    </row>
    <row r="494" spans="1:40" x14ac:dyDescent="0.15">
      <c r="A494" s="75">
        <f ca="1">IFERROR(IF(AND(MAX($A$114:A493)&gt;A493+1, MAX($A$114:A493)&gt;20),0,IF(AND(D494="",G494=""),0,IF(OR(D494&gt;LimitSignB10, G494&gt;LimitSignB11),A493+1,0))),"")</f>
        <v>0</v>
      </c>
      <c r="B494" s="76" t="str">
        <f ca="1">IFERROR(MyTime(INDEX(INDIRECT("input!"&amp;$B$112&amp;":"&amp;$B$112),FirstRowInput+Integration*COUNT($B$114:B493)) )* $B$110,"")</f>
        <v/>
      </c>
      <c r="C494" s="77" t="str">
        <f ca="1">IFERROR(AVERAGE(INDEX(INDIRECT("input!" &amp; $C$112 &amp; ":" &amp; $C$112),FirstRowInput+Integration*COUNT($B$114:B493)):INDEX(INDIRECT("input!" &amp; $C$112 &amp; ":" &amp; $C$112),FirstRowInput+Integration*COUNT($B$114:B493)+Integration-1))*$C$110,"")</f>
        <v/>
      </c>
      <c r="D494" s="77" t="str">
        <f ca="1">IFERROR(AVERAGE(INDEX(INDIRECT("input!" &amp; $D$112 &amp; ":" &amp; $D$112),FirstRowInput+Integration*COUNT($B$114:B493)):INDEX(INDIRECT("input!" &amp; $D$112 &amp; ":" &amp; $D$112),FirstRowInput+Integration*COUNT($B$114:B493)+Integration-1))*$D$110,"")</f>
        <v/>
      </c>
      <c r="E494" s="77" t="str">
        <f ca="1">IFERROR(AVERAGE(INDEX(INDIRECT("input!" &amp; $E$112 &amp; ":" &amp; $E$112),FirstRowInput+Integration*COUNT($B$114:B493)):INDEX(INDIRECT("input!" &amp; $E$112 &amp; ":" &amp; $E$112),FirstRowInput+Integration*COUNT($B$114:B493)+Integration-1))*$E$110,"")</f>
        <v/>
      </c>
      <c r="F494" s="77" t="str">
        <f ca="1">IFERROR(AVERAGE(INDEX(INDIRECT("input!" &amp; $F$112 &amp; ":" &amp; $F$112),FirstRowInput+Integration*COUNT($B$114:B493)):INDEX(INDIRECT("input!" &amp; $F$112 &amp; ":" &amp; $F$112),FirstRowInput+Integration*COUNT($B$114:B493)+Integration-1))*$F$110,"")</f>
        <v/>
      </c>
      <c r="G494" s="77" t="str">
        <f ca="1">IFERROR(AVERAGE(INDEX(INDIRECT("input!" &amp; $G$112 &amp; ":" &amp; $G$112),FirstRowInput+Integration*COUNT($B$114:B493)):INDEX(INDIRECT("input!" &amp; $G$112 &amp; ":" &amp; $G$112),FirstRowInput+Integration*COUNT($B$114:B493)+Integration-1))*$G$110,"")</f>
        <v/>
      </c>
      <c r="H494" s="77" t="str">
        <f ca="1">IFERROR(AVERAGE(INDEX(INDIRECT("input!" &amp; $H$112 &amp; ":" &amp; $H$112),FirstRowInput+Integration*COUNT($B$114:B493)):INDEX(INDIRECT("input!" &amp; $H$112 &amp; ":" &amp; $H$112),FirstRowInput+Integration*COUNT($B$114:B493)+Integration-1))*$H$110,"")</f>
        <v/>
      </c>
      <c r="I494" s="42">
        <v>382</v>
      </c>
      <c r="J494"/>
      <c r="K494"/>
      <c r="L494"/>
      <c r="M494"/>
      <c r="N494"/>
      <c r="O494"/>
      <c r="P494"/>
      <c r="Q494"/>
      <c r="R494"/>
      <c r="S494"/>
      <c r="T494"/>
      <c r="U494"/>
      <c r="V494"/>
      <c r="W494"/>
      <c r="X494"/>
      <c r="Y494"/>
      <c r="Z494"/>
      <c r="AA494"/>
      <c r="AB494"/>
      <c r="AC494"/>
      <c r="AD494"/>
      <c r="AE494"/>
      <c r="AF494"/>
      <c r="AG494"/>
      <c r="AH494"/>
      <c r="AI494"/>
      <c r="AJ494"/>
      <c r="AK494"/>
      <c r="AL494"/>
      <c r="AM494"/>
      <c r="AN494"/>
    </row>
    <row r="495" spans="1:40" x14ac:dyDescent="0.15">
      <c r="A495" s="75">
        <f ca="1">IFERROR(IF(AND(MAX($A$114:A494)&gt;A494+1, MAX($A$114:A494)&gt;20),0,IF(AND(D495="",G495=""),0,IF(OR(D495&gt;LimitSignB10, G495&gt;LimitSignB11),A494+1,0))),"")</f>
        <v>0</v>
      </c>
      <c r="B495" s="76" t="str">
        <f ca="1">IFERROR(MyTime(INDEX(INDIRECT("input!"&amp;$B$112&amp;":"&amp;$B$112),FirstRowInput+Integration*COUNT($B$114:B494)) )* $B$110,"")</f>
        <v/>
      </c>
      <c r="C495" s="77" t="str">
        <f ca="1">IFERROR(AVERAGE(INDEX(INDIRECT("input!" &amp; $C$112 &amp; ":" &amp; $C$112),FirstRowInput+Integration*COUNT($B$114:B494)):INDEX(INDIRECT("input!" &amp; $C$112 &amp; ":" &amp; $C$112),FirstRowInput+Integration*COUNT($B$114:B494)+Integration-1))*$C$110,"")</f>
        <v/>
      </c>
      <c r="D495" s="77" t="str">
        <f ca="1">IFERROR(AVERAGE(INDEX(INDIRECT("input!" &amp; $D$112 &amp; ":" &amp; $D$112),FirstRowInput+Integration*COUNT($B$114:B494)):INDEX(INDIRECT("input!" &amp; $D$112 &amp; ":" &amp; $D$112),FirstRowInput+Integration*COUNT($B$114:B494)+Integration-1))*$D$110,"")</f>
        <v/>
      </c>
      <c r="E495" s="77" t="str">
        <f ca="1">IFERROR(AVERAGE(INDEX(INDIRECT("input!" &amp; $E$112 &amp; ":" &amp; $E$112),FirstRowInput+Integration*COUNT($B$114:B494)):INDEX(INDIRECT("input!" &amp; $E$112 &amp; ":" &amp; $E$112),FirstRowInput+Integration*COUNT($B$114:B494)+Integration-1))*$E$110,"")</f>
        <v/>
      </c>
      <c r="F495" s="77" t="str">
        <f ca="1">IFERROR(AVERAGE(INDEX(INDIRECT("input!" &amp; $F$112 &amp; ":" &amp; $F$112),FirstRowInput+Integration*COUNT($B$114:B494)):INDEX(INDIRECT("input!" &amp; $F$112 &amp; ":" &amp; $F$112),FirstRowInput+Integration*COUNT($B$114:B494)+Integration-1))*$F$110,"")</f>
        <v/>
      </c>
      <c r="G495" s="77" t="str">
        <f ca="1">IFERROR(AVERAGE(INDEX(INDIRECT("input!" &amp; $G$112 &amp; ":" &amp; $G$112),FirstRowInput+Integration*COUNT($B$114:B494)):INDEX(INDIRECT("input!" &amp; $G$112 &amp; ":" &amp; $G$112),FirstRowInput+Integration*COUNT($B$114:B494)+Integration-1))*$G$110,"")</f>
        <v/>
      </c>
      <c r="H495" s="77" t="str">
        <f ca="1">IFERROR(AVERAGE(INDEX(INDIRECT("input!" &amp; $H$112 &amp; ":" &amp; $H$112),FirstRowInput+Integration*COUNT($B$114:B494)):INDEX(INDIRECT("input!" &amp; $H$112 &amp; ":" &amp; $H$112),FirstRowInput+Integration*COUNT($B$114:B494)+Integration-1))*$H$110,"")</f>
        <v/>
      </c>
      <c r="I495" s="42">
        <v>383</v>
      </c>
      <c r="J495"/>
      <c r="K495"/>
      <c r="L495"/>
      <c r="M495"/>
      <c r="N495"/>
      <c r="O495"/>
      <c r="P495"/>
      <c r="Q495"/>
      <c r="R495"/>
      <c r="S495"/>
      <c r="T495"/>
      <c r="U495"/>
      <c r="V495"/>
      <c r="W495"/>
      <c r="X495"/>
      <c r="Y495"/>
      <c r="Z495"/>
      <c r="AA495"/>
      <c r="AB495"/>
      <c r="AC495"/>
      <c r="AD495"/>
      <c r="AE495"/>
      <c r="AF495"/>
      <c r="AG495"/>
      <c r="AH495"/>
      <c r="AI495"/>
      <c r="AJ495"/>
      <c r="AK495"/>
      <c r="AL495"/>
      <c r="AM495"/>
      <c r="AN495"/>
    </row>
    <row r="496" spans="1:40" x14ac:dyDescent="0.15">
      <c r="A496" s="75">
        <f ca="1">IFERROR(IF(AND(MAX($A$114:A495)&gt;A495+1, MAX($A$114:A495)&gt;20),0,IF(AND(D496="",G496=""),0,IF(OR(D496&gt;LimitSignB10, G496&gt;LimitSignB11),A495+1,0))),"")</f>
        <v>0</v>
      </c>
      <c r="B496" s="76" t="str">
        <f ca="1">IFERROR(MyTime(INDEX(INDIRECT("input!"&amp;$B$112&amp;":"&amp;$B$112),FirstRowInput+Integration*COUNT($B$114:B495)) )* $B$110,"")</f>
        <v/>
      </c>
      <c r="C496" s="77" t="str">
        <f ca="1">IFERROR(AVERAGE(INDEX(INDIRECT("input!" &amp; $C$112 &amp; ":" &amp; $C$112),FirstRowInput+Integration*COUNT($B$114:B495)):INDEX(INDIRECT("input!" &amp; $C$112 &amp; ":" &amp; $C$112),FirstRowInput+Integration*COUNT($B$114:B495)+Integration-1))*$C$110,"")</f>
        <v/>
      </c>
      <c r="D496" s="77" t="str">
        <f ca="1">IFERROR(AVERAGE(INDEX(INDIRECT("input!" &amp; $D$112 &amp; ":" &amp; $D$112),FirstRowInput+Integration*COUNT($B$114:B495)):INDEX(INDIRECT("input!" &amp; $D$112 &amp; ":" &amp; $D$112),FirstRowInput+Integration*COUNT($B$114:B495)+Integration-1))*$D$110,"")</f>
        <v/>
      </c>
      <c r="E496" s="77" t="str">
        <f ca="1">IFERROR(AVERAGE(INDEX(INDIRECT("input!" &amp; $E$112 &amp; ":" &amp; $E$112),FirstRowInput+Integration*COUNT($B$114:B495)):INDEX(INDIRECT("input!" &amp; $E$112 &amp; ":" &amp; $E$112),FirstRowInput+Integration*COUNT($B$114:B495)+Integration-1))*$E$110,"")</f>
        <v/>
      </c>
      <c r="F496" s="77" t="str">
        <f ca="1">IFERROR(AVERAGE(INDEX(INDIRECT("input!" &amp; $F$112 &amp; ":" &amp; $F$112),FirstRowInput+Integration*COUNT($B$114:B495)):INDEX(INDIRECT("input!" &amp; $F$112 &amp; ":" &amp; $F$112),FirstRowInput+Integration*COUNT($B$114:B495)+Integration-1))*$F$110,"")</f>
        <v/>
      </c>
      <c r="G496" s="77" t="str">
        <f ca="1">IFERROR(AVERAGE(INDEX(INDIRECT("input!" &amp; $G$112 &amp; ":" &amp; $G$112),FirstRowInput+Integration*COUNT($B$114:B495)):INDEX(INDIRECT("input!" &amp; $G$112 &amp; ":" &amp; $G$112),FirstRowInput+Integration*COUNT($B$114:B495)+Integration-1))*$G$110,"")</f>
        <v/>
      </c>
      <c r="H496" s="77" t="str">
        <f ca="1">IFERROR(AVERAGE(INDEX(INDIRECT("input!" &amp; $H$112 &amp; ":" &amp; $H$112),FirstRowInput+Integration*COUNT($B$114:B495)):INDEX(INDIRECT("input!" &amp; $H$112 &amp; ":" &amp; $H$112),FirstRowInput+Integration*COUNT($B$114:B495)+Integration-1))*$H$110,"")</f>
        <v/>
      </c>
      <c r="I496" s="42">
        <v>384</v>
      </c>
      <c r="J496"/>
      <c r="K496"/>
      <c r="L496"/>
      <c r="M496"/>
      <c r="N496"/>
      <c r="O496"/>
      <c r="P496"/>
      <c r="Q496"/>
      <c r="R496"/>
      <c r="S496"/>
      <c r="T496"/>
      <c r="U496"/>
      <c r="V496"/>
      <c r="W496"/>
      <c r="X496"/>
      <c r="Y496"/>
      <c r="Z496"/>
      <c r="AA496"/>
      <c r="AB496"/>
      <c r="AC496"/>
      <c r="AD496"/>
      <c r="AE496"/>
      <c r="AF496"/>
      <c r="AG496"/>
      <c r="AH496"/>
      <c r="AI496"/>
      <c r="AJ496"/>
      <c r="AK496"/>
      <c r="AL496"/>
      <c r="AM496"/>
      <c r="AN496"/>
    </row>
    <row r="497" spans="1:40" x14ac:dyDescent="0.15">
      <c r="A497" s="75">
        <f ca="1">IFERROR(IF(AND(MAX($A$114:A496)&gt;A496+1, MAX($A$114:A496)&gt;20),0,IF(AND(D497="",G497=""),0,IF(OR(D497&gt;LimitSignB10, G497&gt;LimitSignB11),A496+1,0))),"")</f>
        <v>0</v>
      </c>
      <c r="B497" s="76" t="str">
        <f ca="1">IFERROR(MyTime(INDEX(INDIRECT("input!"&amp;$B$112&amp;":"&amp;$B$112),FirstRowInput+Integration*COUNT($B$114:B496)) )* $B$110,"")</f>
        <v/>
      </c>
      <c r="C497" s="77" t="str">
        <f ca="1">IFERROR(AVERAGE(INDEX(INDIRECT("input!" &amp; $C$112 &amp; ":" &amp; $C$112),FirstRowInput+Integration*COUNT($B$114:B496)):INDEX(INDIRECT("input!" &amp; $C$112 &amp; ":" &amp; $C$112),FirstRowInput+Integration*COUNT($B$114:B496)+Integration-1))*$C$110,"")</f>
        <v/>
      </c>
      <c r="D497" s="77" t="str">
        <f ca="1">IFERROR(AVERAGE(INDEX(INDIRECT("input!" &amp; $D$112 &amp; ":" &amp; $D$112),FirstRowInput+Integration*COUNT($B$114:B496)):INDEX(INDIRECT("input!" &amp; $D$112 &amp; ":" &amp; $D$112),FirstRowInput+Integration*COUNT($B$114:B496)+Integration-1))*$D$110,"")</f>
        <v/>
      </c>
      <c r="E497" s="77" t="str">
        <f ca="1">IFERROR(AVERAGE(INDEX(INDIRECT("input!" &amp; $E$112 &amp; ":" &amp; $E$112),FirstRowInput+Integration*COUNT($B$114:B496)):INDEX(INDIRECT("input!" &amp; $E$112 &amp; ":" &amp; $E$112),FirstRowInput+Integration*COUNT($B$114:B496)+Integration-1))*$E$110,"")</f>
        <v/>
      </c>
      <c r="F497" s="77" t="str">
        <f ca="1">IFERROR(AVERAGE(INDEX(INDIRECT("input!" &amp; $F$112 &amp; ":" &amp; $F$112),FirstRowInput+Integration*COUNT($B$114:B496)):INDEX(INDIRECT("input!" &amp; $F$112 &amp; ":" &amp; $F$112),FirstRowInput+Integration*COUNT($B$114:B496)+Integration-1))*$F$110,"")</f>
        <v/>
      </c>
      <c r="G497" s="77" t="str">
        <f ca="1">IFERROR(AVERAGE(INDEX(INDIRECT("input!" &amp; $G$112 &amp; ":" &amp; $G$112),FirstRowInput+Integration*COUNT($B$114:B496)):INDEX(INDIRECT("input!" &amp; $G$112 &amp; ":" &amp; $G$112),FirstRowInput+Integration*COUNT($B$114:B496)+Integration-1))*$G$110,"")</f>
        <v/>
      </c>
      <c r="H497" s="77" t="str">
        <f ca="1">IFERROR(AVERAGE(INDEX(INDIRECT("input!" &amp; $H$112 &amp; ":" &amp; $H$112),FirstRowInput+Integration*COUNT($B$114:B496)):INDEX(INDIRECT("input!" &amp; $H$112 &amp; ":" &amp; $H$112),FirstRowInput+Integration*COUNT($B$114:B496)+Integration-1))*$H$110,"")</f>
        <v/>
      </c>
      <c r="I497" s="42">
        <v>385</v>
      </c>
      <c r="J497"/>
      <c r="K497"/>
      <c r="L497"/>
      <c r="M497"/>
      <c r="N497"/>
      <c r="O497"/>
      <c r="P497"/>
      <c r="Q497"/>
      <c r="R497"/>
      <c r="S497"/>
      <c r="T497"/>
      <c r="U497"/>
      <c r="V497"/>
      <c r="W497"/>
      <c r="X497"/>
      <c r="Y497"/>
      <c r="Z497"/>
      <c r="AA497"/>
      <c r="AB497"/>
      <c r="AC497"/>
      <c r="AD497"/>
      <c r="AE497"/>
      <c r="AF497"/>
      <c r="AG497"/>
      <c r="AH497"/>
      <c r="AI497"/>
      <c r="AJ497"/>
      <c r="AK497"/>
      <c r="AL497"/>
      <c r="AM497"/>
      <c r="AN497"/>
    </row>
    <row r="498" spans="1:40" x14ac:dyDescent="0.15">
      <c r="A498" s="75">
        <f ca="1">IFERROR(IF(AND(MAX($A$114:A497)&gt;A497+1, MAX($A$114:A497)&gt;20),0,IF(AND(D498="",G498=""),0,IF(OR(D498&gt;LimitSignB10, G498&gt;LimitSignB11),A497+1,0))),"")</f>
        <v>0</v>
      </c>
      <c r="B498" s="76" t="str">
        <f ca="1">IFERROR(MyTime(INDEX(INDIRECT("input!"&amp;$B$112&amp;":"&amp;$B$112),FirstRowInput+Integration*COUNT($B$114:B497)) )* $B$110,"")</f>
        <v/>
      </c>
      <c r="C498" s="77" t="str">
        <f ca="1">IFERROR(AVERAGE(INDEX(INDIRECT("input!" &amp; $C$112 &amp; ":" &amp; $C$112),FirstRowInput+Integration*COUNT($B$114:B497)):INDEX(INDIRECT("input!" &amp; $C$112 &amp; ":" &amp; $C$112),FirstRowInput+Integration*COUNT($B$114:B497)+Integration-1))*$C$110,"")</f>
        <v/>
      </c>
      <c r="D498" s="77" t="str">
        <f ca="1">IFERROR(AVERAGE(INDEX(INDIRECT("input!" &amp; $D$112 &amp; ":" &amp; $D$112),FirstRowInput+Integration*COUNT($B$114:B497)):INDEX(INDIRECT("input!" &amp; $D$112 &amp; ":" &amp; $D$112),FirstRowInput+Integration*COUNT($B$114:B497)+Integration-1))*$D$110,"")</f>
        <v/>
      </c>
      <c r="E498" s="77" t="str">
        <f ca="1">IFERROR(AVERAGE(INDEX(INDIRECT("input!" &amp; $E$112 &amp; ":" &amp; $E$112),FirstRowInput+Integration*COUNT($B$114:B497)):INDEX(INDIRECT("input!" &amp; $E$112 &amp; ":" &amp; $E$112),FirstRowInput+Integration*COUNT($B$114:B497)+Integration-1))*$E$110,"")</f>
        <v/>
      </c>
      <c r="F498" s="77" t="str">
        <f ca="1">IFERROR(AVERAGE(INDEX(INDIRECT("input!" &amp; $F$112 &amp; ":" &amp; $F$112),FirstRowInput+Integration*COUNT($B$114:B497)):INDEX(INDIRECT("input!" &amp; $F$112 &amp; ":" &amp; $F$112),FirstRowInput+Integration*COUNT($B$114:B497)+Integration-1))*$F$110,"")</f>
        <v/>
      </c>
      <c r="G498" s="77" t="str">
        <f ca="1">IFERROR(AVERAGE(INDEX(INDIRECT("input!" &amp; $G$112 &amp; ":" &amp; $G$112),FirstRowInput+Integration*COUNT($B$114:B497)):INDEX(INDIRECT("input!" &amp; $G$112 &amp; ":" &amp; $G$112),FirstRowInput+Integration*COUNT($B$114:B497)+Integration-1))*$G$110,"")</f>
        <v/>
      </c>
      <c r="H498" s="77" t="str">
        <f ca="1">IFERROR(AVERAGE(INDEX(INDIRECT("input!" &amp; $H$112 &amp; ":" &amp; $H$112),FirstRowInput+Integration*COUNT($B$114:B497)):INDEX(INDIRECT("input!" &amp; $H$112 &amp; ":" &amp; $H$112),FirstRowInput+Integration*COUNT($B$114:B497)+Integration-1))*$H$110,"")</f>
        <v/>
      </c>
      <c r="I498" s="42">
        <v>386</v>
      </c>
      <c r="J498"/>
      <c r="K498"/>
      <c r="L498"/>
      <c r="M498"/>
      <c r="N498"/>
      <c r="O498"/>
      <c r="P498"/>
      <c r="Q498"/>
      <c r="R498"/>
      <c r="S498"/>
      <c r="T498"/>
      <c r="U498"/>
      <c r="V498"/>
      <c r="W498"/>
      <c r="X498"/>
      <c r="Y498"/>
      <c r="Z498"/>
      <c r="AA498"/>
      <c r="AB498"/>
      <c r="AC498"/>
      <c r="AD498"/>
      <c r="AE498"/>
      <c r="AF498"/>
      <c r="AG498"/>
      <c r="AH498"/>
      <c r="AI498"/>
      <c r="AJ498"/>
      <c r="AK498"/>
      <c r="AL498"/>
      <c r="AM498"/>
      <c r="AN498"/>
    </row>
    <row r="499" spans="1:40" x14ac:dyDescent="0.15">
      <c r="A499" s="75">
        <f ca="1">IFERROR(IF(AND(MAX($A$114:A498)&gt;A498+1, MAX($A$114:A498)&gt;20),0,IF(AND(D499="",G499=""),0,IF(OR(D499&gt;LimitSignB10, G499&gt;LimitSignB11),A498+1,0))),"")</f>
        <v>0</v>
      </c>
      <c r="B499" s="76" t="str">
        <f ca="1">IFERROR(MyTime(INDEX(INDIRECT("input!"&amp;$B$112&amp;":"&amp;$B$112),FirstRowInput+Integration*COUNT($B$114:B498)) )* $B$110,"")</f>
        <v/>
      </c>
      <c r="C499" s="77" t="str">
        <f ca="1">IFERROR(AVERAGE(INDEX(INDIRECT("input!" &amp; $C$112 &amp; ":" &amp; $C$112),FirstRowInput+Integration*COUNT($B$114:B498)):INDEX(INDIRECT("input!" &amp; $C$112 &amp; ":" &amp; $C$112),FirstRowInput+Integration*COUNT($B$114:B498)+Integration-1))*$C$110,"")</f>
        <v/>
      </c>
      <c r="D499" s="77" t="str">
        <f ca="1">IFERROR(AVERAGE(INDEX(INDIRECT("input!" &amp; $D$112 &amp; ":" &amp; $D$112),FirstRowInput+Integration*COUNT($B$114:B498)):INDEX(INDIRECT("input!" &amp; $D$112 &amp; ":" &amp; $D$112),FirstRowInput+Integration*COUNT($B$114:B498)+Integration-1))*$D$110,"")</f>
        <v/>
      </c>
      <c r="E499" s="77" t="str">
        <f ca="1">IFERROR(AVERAGE(INDEX(INDIRECT("input!" &amp; $E$112 &amp; ":" &amp; $E$112),FirstRowInput+Integration*COUNT($B$114:B498)):INDEX(INDIRECT("input!" &amp; $E$112 &amp; ":" &amp; $E$112),FirstRowInput+Integration*COUNT($B$114:B498)+Integration-1))*$E$110,"")</f>
        <v/>
      </c>
      <c r="F499" s="77" t="str">
        <f ca="1">IFERROR(AVERAGE(INDEX(INDIRECT("input!" &amp; $F$112 &amp; ":" &amp; $F$112),FirstRowInput+Integration*COUNT($B$114:B498)):INDEX(INDIRECT("input!" &amp; $F$112 &amp; ":" &amp; $F$112),FirstRowInput+Integration*COUNT($B$114:B498)+Integration-1))*$F$110,"")</f>
        <v/>
      </c>
      <c r="G499" s="77" t="str">
        <f ca="1">IFERROR(AVERAGE(INDEX(INDIRECT("input!" &amp; $G$112 &amp; ":" &amp; $G$112),FirstRowInput+Integration*COUNT($B$114:B498)):INDEX(INDIRECT("input!" &amp; $G$112 &amp; ":" &amp; $G$112),FirstRowInput+Integration*COUNT($B$114:B498)+Integration-1))*$G$110,"")</f>
        <v/>
      </c>
      <c r="H499" s="77" t="str">
        <f ca="1">IFERROR(AVERAGE(INDEX(INDIRECT("input!" &amp; $H$112 &amp; ":" &amp; $H$112),FirstRowInput+Integration*COUNT($B$114:B498)):INDEX(INDIRECT("input!" &amp; $H$112 &amp; ":" &amp; $H$112),FirstRowInput+Integration*COUNT($B$114:B498)+Integration-1))*$H$110,"")</f>
        <v/>
      </c>
      <c r="I499" s="42">
        <v>387</v>
      </c>
      <c r="J499"/>
      <c r="K499"/>
      <c r="L499"/>
      <c r="M499"/>
      <c r="N499"/>
      <c r="O499"/>
      <c r="P499"/>
      <c r="Q499"/>
      <c r="R499"/>
      <c r="S499"/>
      <c r="T499"/>
      <c r="U499"/>
      <c r="V499"/>
      <c r="W499"/>
      <c r="X499"/>
      <c r="Y499"/>
      <c r="Z499"/>
      <c r="AA499"/>
      <c r="AB499"/>
      <c r="AC499"/>
      <c r="AD499"/>
      <c r="AE499"/>
      <c r="AF499"/>
      <c r="AG499"/>
      <c r="AH499"/>
      <c r="AI499"/>
      <c r="AJ499"/>
      <c r="AK499"/>
      <c r="AL499"/>
      <c r="AM499"/>
      <c r="AN499"/>
    </row>
    <row r="500" spans="1:40" x14ac:dyDescent="0.15">
      <c r="A500" s="75">
        <f ca="1">IFERROR(IF(AND(MAX($A$114:A499)&gt;A499+1, MAX($A$114:A499)&gt;20),0,IF(AND(D500="",G500=""),0,IF(OR(D500&gt;LimitSignB10, G500&gt;LimitSignB11),A499+1,0))),"")</f>
        <v>0</v>
      </c>
      <c r="B500" s="76" t="str">
        <f ca="1">IFERROR(MyTime(INDEX(INDIRECT("input!"&amp;$B$112&amp;":"&amp;$B$112),FirstRowInput+Integration*COUNT($B$114:B499)) )* $B$110,"")</f>
        <v/>
      </c>
      <c r="C500" s="77" t="str">
        <f ca="1">IFERROR(AVERAGE(INDEX(INDIRECT("input!" &amp; $C$112 &amp; ":" &amp; $C$112),FirstRowInput+Integration*COUNT($B$114:B499)):INDEX(INDIRECT("input!" &amp; $C$112 &amp; ":" &amp; $C$112),FirstRowInput+Integration*COUNT($B$114:B499)+Integration-1))*$C$110,"")</f>
        <v/>
      </c>
      <c r="D500" s="77" t="str">
        <f ca="1">IFERROR(AVERAGE(INDEX(INDIRECT("input!" &amp; $D$112 &amp; ":" &amp; $D$112),FirstRowInput+Integration*COUNT($B$114:B499)):INDEX(INDIRECT("input!" &amp; $D$112 &amp; ":" &amp; $D$112),FirstRowInput+Integration*COUNT($B$114:B499)+Integration-1))*$D$110,"")</f>
        <v/>
      </c>
      <c r="E500" s="77" t="str">
        <f ca="1">IFERROR(AVERAGE(INDEX(INDIRECT("input!" &amp; $E$112 &amp; ":" &amp; $E$112),FirstRowInput+Integration*COUNT($B$114:B499)):INDEX(INDIRECT("input!" &amp; $E$112 &amp; ":" &amp; $E$112),FirstRowInput+Integration*COUNT($B$114:B499)+Integration-1))*$E$110,"")</f>
        <v/>
      </c>
      <c r="F500" s="77" t="str">
        <f ca="1">IFERROR(AVERAGE(INDEX(INDIRECT("input!" &amp; $F$112 &amp; ":" &amp; $F$112),FirstRowInput+Integration*COUNT($B$114:B499)):INDEX(INDIRECT("input!" &amp; $F$112 &amp; ":" &amp; $F$112),FirstRowInput+Integration*COUNT($B$114:B499)+Integration-1))*$F$110,"")</f>
        <v/>
      </c>
      <c r="G500" s="77" t="str">
        <f ca="1">IFERROR(AVERAGE(INDEX(INDIRECT("input!" &amp; $G$112 &amp; ":" &amp; $G$112),FirstRowInput+Integration*COUNT($B$114:B499)):INDEX(INDIRECT("input!" &amp; $G$112 &amp; ":" &amp; $G$112),FirstRowInput+Integration*COUNT($B$114:B499)+Integration-1))*$G$110,"")</f>
        <v/>
      </c>
      <c r="H500" s="77" t="str">
        <f ca="1">IFERROR(AVERAGE(INDEX(INDIRECT("input!" &amp; $H$112 &amp; ":" &amp; $H$112),FirstRowInput+Integration*COUNT($B$114:B499)):INDEX(INDIRECT("input!" &amp; $H$112 &amp; ":" &amp; $H$112),FirstRowInput+Integration*COUNT($B$114:B499)+Integration-1))*$H$110,"")</f>
        <v/>
      </c>
      <c r="I500" s="42">
        <v>388</v>
      </c>
      <c r="J500"/>
      <c r="K500"/>
      <c r="L500"/>
      <c r="M500"/>
      <c r="N500"/>
      <c r="O500"/>
      <c r="P500"/>
      <c r="Q500"/>
      <c r="R500"/>
      <c r="S500"/>
      <c r="T500"/>
      <c r="U500"/>
      <c r="V500"/>
      <c r="W500"/>
      <c r="X500"/>
      <c r="Y500"/>
      <c r="Z500"/>
      <c r="AA500"/>
      <c r="AB500"/>
      <c r="AC500"/>
      <c r="AD500"/>
      <c r="AE500"/>
      <c r="AF500"/>
      <c r="AG500"/>
      <c r="AH500"/>
      <c r="AI500"/>
      <c r="AJ500"/>
      <c r="AK500"/>
      <c r="AL500"/>
      <c r="AM500"/>
      <c r="AN500"/>
    </row>
    <row r="501" spans="1:40" x14ac:dyDescent="0.15">
      <c r="A501" s="75">
        <f ca="1">IFERROR(IF(AND(MAX($A$114:A500)&gt;A500+1, MAX($A$114:A500)&gt;20),0,IF(AND(D501="",G501=""),0,IF(OR(D501&gt;LimitSignB10, G501&gt;LimitSignB11),A500+1,0))),"")</f>
        <v>0</v>
      </c>
      <c r="B501" s="76" t="str">
        <f ca="1">IFERROR(MyTime(INDEX(INDIRECT("input!"&amp;$B$112&amp;":"&amp;$B$112),FirstRowInput+Integration*COUNT($B$114:B500)) )* $B$110,"")</f>
        <v/>
      </c>
      <c r="C501" s="77" t="str">
        <f ca="1">IFERROR(AVERAGE(INDEX(INDIRECT("input!" &amp; $C$112 &amp; ":" &amp; $C$112),FirstRowInput+Integration*COUNT($B$114:B500)):INDEX(INDIRECT("input!" &amp; $C$112 &amp; ":" &amp; $C$112),FirstRowInput+Integration*COUNT($B$114:B500)+Integration-1))*$C$110,"")</f>
        <v/>
      </c>
      <c r="D501" s="77" t="str">
        <f ca="1">IFERROR(AVERAGE(INDEX(INDIRECT("input!" &amp; $D$112 &amp; ":" &amp; $D$112),FirstRowInput+Integration*COUNT($B$114:B500)):INDEX(INDIRECT("input!" &amp; $D$112 &amp; ":" &amp; $D$112),FirstRowInput+Integration*COUNT($B$114:B500)+Integration-1))*$D$110,"")</f>
        <v/>
      </c>
      <c r="E501" s="77" t="str">
        <f ca="1">IFERROR(AVERAGE(INDEX(INDIRECT("input!" &amp; $E$112 &amp; ":" &amp; $E$112),FirstRowInput+Integration*COUNT($B$114:B500)):INDEX(INDIRECT("input!" &amp; $E$112 &amp; ":" &amp; $E$112),FirstRowInput+Integration*COUNT($B$114:B500)+Integration-1))*$E$110,"")</f>
        <v/>
      </c>
      <c r="F501" s="77" t="str">
        <f ca="1">IFERROR(AVERAGE(INDEX(INDIRECT("input!" &amp; $F$112 &amp; ":" &amp; $F$112),FirstRowInput+Integration*COUNT($B$114:B500)):INDEX(INDIRECT("input!" &amp; $F$112 &amp; ":" &amp; $F$112),FirstRowInput+Integration*COUNT($B$114:B500)+Integration-1))*$F$110,"")</f>
        <v/>
      </c>
      <c r="G501" s="77" t="str">
        <f ca="1">IFERROR(AVERAGE(INDEX(INDIRECT("input!" &amp; $G$112 &amp; ":" &amp; $G$112),FirstRowInput+Integration*COUNT($B$114:B500)):INDEX(INDIRECT("input!" &amp; $G$112 &amp; ":" &amp; $G$112),FirstRowInput+Integration*COUNT($B$114:B500)+Integration-1))*$G$110,"")</f>
        <v/>
      </c>
      <c r="H501" s="77" t="str">
        <f ca="1">IFERROR(AVERAGE(INDEX(INDIRECT("input!" &amp; $H$112 &amp; ":" &amp; $H$112),FirstRowInput+Integration*COUNT($B$114:B500)):INDEX(INDIRECT("input!" &amp; $H$112 &amp; ":" &amp; $H$112),FirstRowInput+Integration*COUNT($B$114:B500)+Integration-1))*$H$110,"")</f>
        <v/>
      </c>
      <c r="I501" s="42">
        <v>389</v>
      </c>
      <c r="J501"/>
      <c r="K501"/>
      <c r="L501"/>
      <c r="M501"/>
      <c r="N501"/>
      <c r="O501"/>
      <c r="P501"/>
      <c r="Q501"/>
      <c r="R501"/>
      <c r="S501"/>
      <c r="T501"/>
      <c r="U501"/>
      <c r="V501"/>
      <c r="W501"/>
      <c r="X501"/>
      <c r="Y501"/>
      <c r="Z501"/>
      <c r="AA501"/>
      <c r="AB501"/>
      <c r="AC501"/>
      <c r="AD501"/>
      <c r="AE501"/>
      <c r="AF501"/>
      <c r="AG501"/>
      <c r="AH501"/>
      <c r="AI501"/>
      <c r="AJ501"/>
      <c r="AK501"/>
      <c r="AL501"/>
      <c r="AM501"/>
      <c r="AN501"/>
    </row>
    <row r="502" spans="1:40" x14ac:dyDescent="0.15">
      <c r="A502" s="75">
        <f ca="1">IFERROR(IF(AND(MAX($A$114:A501)&gt;A501+1, MAX($A$114:A501)&gt;20),0,IF(AND(D502="",G502=""),0,IF(OR(D502&gt;LimitSignB10, G502&gt;LimitSignB11),A501+1,0))),"")</f>
        <v>0</v>
      </c>
      <c r="B502" s="76" t="str">
        <f ca="1">IFERROR(MyTime(INDEX(INDIRECT("input!"&amp;$B$112&amp;":"&amp;$B$112),FirstRowInput+Integration*COUNT($B$114:B501)) )* $B$110,"")</f>
        <v/>
      </c>
      <c r="C502" s="77" t="str">
        <f ca="1">IFERROR(AVERAGE(INDEX(INDIRECT("input!" &amp; $C$112 &amp; ":" &amp; $C$112),FirstRowInput+Integration*COUNT($B$114:B501)):INDEX(INDIRECT("input!" &amp; $C$112 &amp; ":" &amp; $C$112),FirstRowInput+Integration*COUNT($B$114:B501)+Integration-1))*$C$110,"")</f>
        <v/>
      </c>
      <c r="D502" s="77" t="str">
        <f ca="1">IFERROR(AVERAGE(INDEX(INDIRECT("input!" &amp; $D$112 &amp; ":" &amp; $D$112),FirstRowInput+Integration*COUNT($B$114:B501)):INDEX(INDIRECT("input!" &amp; $D$112 &amp; ":" &amp; $D$112),FirstRowInput+Integration*COUNT($B$114:B501)+Integration-1))*$D$110,"")</f>
        <v/>
      </c>
      <c r="E502" s="77" t="str">
        <f ca="1">IFERROR(AVERAGE(INDEX(INDIRECT("input!" &amp; $E$112 &amp; ":" &amp; $E$112),FirstRowInput+Integration*COUNT($B$114:B501)):INDEX(INDIRECT("input!" &amp; $E$112 &amp; ":" &amp; $E$112),FirstRowInput+Integration*COUNT($B$114:B501)+Integration-1))*$E$110,"")</f>
        <v/>
      </c>
      <c r="F502" s="77" t="str">
        <f ca="1">IFERROR(AVERAGE(INDEX(INDIRECT("input!" &amp; $F$112 &amp; ":" &amp; $F$112),FirstRowInput+Integration*COUNT($B$114:B501)):INDEX(INDIRECT("input!" &amp; $F$112 &amp; ":" &amp; $F$112),FirstRowInput+Integration*COUNT($B$114:B501)+Integration-1))*$F$110,"")</f>
        <v/>
      </c>
      <c r="G502" s="77" t="str">
        <f ca="1">IFERROR(AVERAGE(INDEX(INDIRECT("input!" &amp; $G$112 &amp; ":" &amp; $G$112),FirstRowInput+Integration*COUNT($B$114:B501)):INDEX(INDIRECT("input!" &amp; $G$112 &amp; ":" &amp; $G$112),FirstRowInput+Integration*COUNT($B$114:B501)+Integration-1))*$G$110,"")</f>
        <v/>
      </c>
      <c r="H502" s="77" t="str">
        <f ca="1">IFERROR(AVERAGE(INDEX(INDIRECT("input!" &amp; $H$112 &amp; ":" &amp; $H$112),FirstRowInput+Integration*COUNT($B$114:B501)):INDEX(INDIRECT("input!" &amp; $H$112 &amp; ":" &amp; $H$112),FirstRowInput+Integration*COUNT($B$114:B501)+Integration-1))*$H$110,"")</f>
        <v/>
      </c>
      <c r="I502" s="42">
        <v>390</v>
      </c>
      <c r="J502"/>
      <c r="K502"/>
      <c r="L502"/>
      <c r="M502"/>
      <c r="N502"/>
      <c r="O502"/>
      <c r="P502"/>
      <c r="Q502"/>
      <c r="R502"/>
      <c r="S502"/>
      <c r="T502"/>
      <c r="U502"/>
      <c r="V502"/>
      <c r="W502"/>
      <c r="X502"/>
      <c r="Y502"/>
      <c r="Z502"/>
      <c r="AA502"/>
      <c r="AB502"/>
      <c r="AC502"/>
      <c r="AD502"/>
      <c r="AE502"/>
      <c r="AF502"/>
      <c r="AG502"/>
      <c r="AH502"/>
      <c r="AI502"/>
      <c r="AJ502"/>
      <c r="AK502"/>
      <c r="AL502"/>
      <c r="AM502"/>
      <c r="AN502"/>
    </row>
    <row r="503" spans="1:40" x14ac:dyDescent="0.15">
      <c r="A503" s="75">
        <f ca="1">IFERROR(IF(AND(MAX($A$114:A502)&gt;A502+1, MAX($A$114:A502)&gt;20),0,IF(AND(D503="",G503=""),0,IF(OR(D503&gt;LimitSignB10, G503&gt;LimitSignB11),A502+1,0))),"")</f>
        <v>0</v>
      </c>
      <c r="B503" s="76" t="str">
        <f ca="1">IFERROR(MyTime(INDEX(INDIRECT("input!"&amp;$B$112&amp;":"&amp;$B$112),FirstRowInput+Integration*COUNT($B$114:B502)) )* $B$110,"")</f>
        <v/>
      </c>
      <c r="C503" s="77" t="str">
        <f ca="1">IFERROR(AVERAGE(INDEX(INDIRECT("input!" &amp; $C$112 &amp; ":" &amp; $C$112),FirstRowInput+Integration*COUNT($B$114:B502)):INDEX(INDIRECT("input!" &amp; $C$112 &amp; ":" &amp; $C$112),FirstRowInput+Integration*COUNT($B$114:B502)+Integration-1))*$C$110,"")</f>
        <v/>
      </c>
      <c r="D503" s="77" t="str">
        <f ca="1">IFERROR(AVERAGE(INDEX(INDIRECT("input!" &amp; $D$112 &amp; ":" &amp; $D$112),FirstRowInput+Integration*COUNT($B$114:B502)):INDEX(INDIRECT("input!" &amp; $D$112 &amp; ":" &amp; $D$112),FirstRowInput+Integration*COUNT($B$114:B502)+Integration-1))*$D$110,"")</f>
        <v/>
      </c>
      <c r="E503" s="77" t="str">
        <f ca="1">IFERROR(AVERAGE(INDEX(INDIRECT("input!" &amp; $E$112 &amp; ":" &amp; $E$112),FirstRowInput+Integration*COUNT($B$114:B502)):INDEX(INDIRECT("input!" &amp; $E$112 &amp; ":" &amp; $E$112),FirstRowInput+Integration*COUNT($B$114:B502)+Integration-1))*$E$110,"")</f>
        <v/>
      </c>
      <c r="F503" s="77" t="str">
        <f ca="1">IFERROR(AVERAGE(INDEX(INDIRECT("input!" &amp; $F$112 &amp; ":" &amp; $F$112),FirstRowInput+Integration*COUNT($B$114:B502)):INDEX(INDIRECT("input!" &amp; $F$112 &amp; ":" &amp; $F$112),FirstRowInput+Integration*COUNT($B$114:B502)+Integration-1))*$F$110,"")</f>
        <v/>
      </c>
      <c r="G503" s="77" t="str">
        <f ca="1">IFERROR(AVERAGE(INDEX(INDIRECT("input!" &amp; $G$112 &amp; ":" &amp; $G$112),FirstRowInput+Integration*COUNT($B$114:B502)):INDEX(INDIRECT("input!" &amp; $G$112 &amp; ":" &amp; $G$112),FirstRowInput+Integration*COUNT($B$114:B502)+Integration-1))*$G$110,"")</f>
        <v/>
      </c>
      <c r="H503" s="77" t="str">
        <f ca="1">IFERROR(AVERAGE(INDEX(INDIRECT("input!" &amp; $H$112 &amp; ":" &amp; $H$112),FirstRowInput+Integration*COUNT($B$114:B502)):INDEX(INDIRECT("input!" &amp; $H$112 &amp; ":" &amp; $H$112),FirstRowInput+Integration*COUNT($B$114:B502)+Integration-1))*$H$110,"")</f>
        <v/>
      </c>
      <c r="I503" s="42">
        <v>391</v>
      </c>
      <c r="J503"/>
      <c r="K503"/>
      <c r="L503"/>
      <c r="M503"/>
      <c r="N503"/>
      <c r="O503"/>
      <c r="P503"/>
      <c r="Q503"/>
      <c r="R503"/>
      <c r="S503"/>
      <c r="T503"/>
      <c r="U503"/>
      <c r="V503"/>
      <c r="W503"/>
      <c r="X503"/>
      <c r="Y503"/>
      <c r="Z503"/>
      <c r="AA503"/>
      <c r="AB503"/>
      <c r="AC503"/>
      <c r="AD503"/>
      <c r="AE503"/>
      <c r="AF503"/>
      <c r="AG503"/>
      <c r="AH503"/>
      <c r="AI503"/>
      <c r="AJ503"/>
      <c r="AK503"/>
      <c r="AL503"/>
      <c r="AM503"/>
      <c r="AN503"/>
    </row>
    <row r="504" spans="1:40" x14ac:dyDescent="0.15">
      <c r="A504" s="75">
        <f ca="1">IFERROR(IF(AND(MAX($A$114:A503)&gt;A503+1, MAX($A$114:A503)&gt;20),0,IF(AND(D504="",G504=""),0,IF(OR(D504&gt;LimitSignB10, G504&gt;LimitSignB11),A503+1,0))),"")</f>
        <v>0</v>
      </c>
      <c r="B504" s="76" t="str">
        <f ca="1">IFERROR(MyTime(INDEX(INDIRECT("input!"&amp;$B$112&amp;":"&amp;$B$112),FirstRowInput+Integration*COUNT($B$114:B503)) )* $B$110,"")</f>
        <v/>
      </c>
      <c r="C504" s="77" t="str">
        <f ca="1">IFERROR(AVERAGE(INDEX(INDIRECT("input!" &amp; $C$112 &amp; ":" &amp; $C$112),FirstRowInput+Integration*COUNT($B$114:B503)):INDEX(INDIRECT("input!" &amp; $C$112 &amp; ":" &amp; $C$112),FirstRowInput+Integration*COUNT($B$114:B503)+Integration-1))*$C$110,"")</f>
        <v/>
      </c>
      <c r="D504" s="77" t="str">
        <f ca="1">IFERROR(AVERAGE(INDEX(INDIRECT("input!" &amp; $D$112 &amp; ":" &amp; $D$112),FirstRowInput+Integration*COUNT($B$114:B503)):INDEX(INDIRECT("input!" &amp; $D$112 &amp; ":" &amp; $D$112),FirstRowInput+Integration*COUNT($B$114:B503)+Integration-1))*$D$110,"")</f>
        <v/>
      </c>
      <c r="E504" s="77" t="str">
        <f ca="1">IFERROR(AVERAGE(INDEX(INDIRECT("input!" &amp; $E$112 &amp; ":" &amp; $E$112),FirstRowInput+Integration*COUNT($B$114:B503)):INDEX(INDIRECT("input!" &amp; $E$112 &amp; ":" &amp; $E$112),FirstRowInput+Integration*COUNT($B$114:B503)+Integration-1))*$E$110,"")</f>
        <v/>
      </c>
      <c r="F504" s="77" t="str">
        <f ca="1">IFERROR(AVERAGE(INDEX(INDIRECT("input!" &amp; $F$112 &amp; ":" &amp; $F$112),FirstRowInput+Integration*COUNT($B$114:B503)):INDEX(INDIRECT("input!" &amp; $F$112 &amp; ":" &amp; $F$112),FirstRowInput+Integration*COUNT($B$114:B503)+Integration-1))*$F$110,"")</f>
        <v/>
      </c>
      <c r="G504" s="77" t="str">
        <f ca="1">IFERROR(AVERAGE(INDEX(INDIRECT("input!" &amp; $G$112 &amp; ":" &amp; $G$112),FirstRowInput+Integration*COUNT($B$114:B503)):INDEX(INDIRECT("input!" &amp; $G$112 &amp; ":" &amp; $G$112),FirstRowInput+Integration*COUNT($B$114:B503)+Integration-1))*$G$110,"")</f>
        <v/>
      </c>
      <c r="H504" s="77" t="str">
        <f ca="1">IFERROR(AVERAGE(INDEX(INDIRECT("input!" &amp; $H$112 &amp; ":" &amp; $H$112),FirstRowInput+Integration*COUNT($B$114:B503)):INDEX(INDIRECT("input!" &amp; $H$112 &amp; ":" &amp; $H$112),FirstRowInput+Integration*COUNT($B$114:B503)+Integration-1))*$H$110,"")</f>
        <v/>
      </c>
      <c r="I504" s="42">
        <v>392</v>
      </c>
      <c r="J504"/>
      <c r="K504"/>
      <c r="L504"/>
      <c r="M504"/>
      <c r="N504"/>
      <c r="O504"/>
      <c r="P504"/>
      <c r="Q504"/>
      <c r="R504"/>
      <c r="S504"/>
      <c r="T504"/>
      <c r="U504"/>
      <c r="V504"/>
      <c r="W504"/>
      <c r="X504"/>
      <c r="Y504"/>
      <c r="Z504"/>
      <c r="AA504"/>
      <c r="AB504"/>
      <c r="AC504"/>
      <c r="AD504"/>
      <c r="AE504"/>
      <c r="AF504"/>
      <c r="AG504"/>
      <c r="AH504"/>
      <c r="AI504"/>
      <c r="AJ504"/>
      <c r="AK504"/>
      <c r="AL504"/>
      <c r="AM504"/>
      <c r="AN504"/>
    </row>
    <row r="505" spans="1:40" x14ac:dyDescent="0.15">
      <c r="A505" s="75">
        <f ca="1">IFERROR(IF(AND(MAX($A$114:A504)&gt;A504+1, MAX($A$114:A504)&gt;20),0,IF(AND(D505="",G505=""),0,IF(OR(D505&gt;LimitSignB10, G505&gt;LimitSignB11),A504+1,0))),"")</f>
        <v>0</v>
      </c>
      <c r="B505" s="76" t="str">
        <f ca="1">IFERROR(MyTime(INDEX(INDIRECT("input!"&amp;$B$112&amp;":"&amp;$B$112),FirstRowInput+Integration*COUNT($B$114:B504)) )* $B$110,"")</f>
        <v/>
      </c>
      <c r="C505" s="77" t="str">
        <f ca="1">IFERROR(AVERAGE(INDEX(INDIRECT("input!" &amp; $C$112 &amp; ":" &amp; $C$112),FirstRowInput+Integration*COUNT($B$114:B504)):INDEX(INDIRECT("input!" &amp; $C$112 &amp; ":" &amp; $C$112),FirstRowInput+Integration*COUNT($B$114:B504)+Integration-1))*$C$110,"")</f>
        <v/>
      </c>
      <c r="D505" s="77" t="str">
        <f ca="1">IFERROR(AVERAGE(INDEX(INDIRECT("input!" &amp; $D$112 &amp; ":" &amp; $D$112),FirstRowInput+Integration*COUNT($B$114:B504)):INDEX(INDIRECT("input!" &amp; $D$112 &amp; ":" &amp; $D$112),FirstRowInput+Integration*COUNT($B$114:B504)+Integration-1))*$D$110,"")</f>
        <v/>
      </c>
      <c r="E505" s="77" t="str">
        <f ca="1">IFERROR(AVERAGE(INDEX(INDIRECT("input!" &amp; $E$112 &amp; ":" &amp; $E$112),FirstRowInput+Integration*COUNT($B$114:B504)):INDEX(INDIRECT("input!" &amp; $E$112 &amp; ":" &amp; $E$112),FirstRowInput+Integration*COUNT($B$114:B504)+Integration-1))*$E$110,"")</f>
        <v/>
      </c>
      <c r="F505" s="77" t="str">
        <f ca="1">IFERROR(AVERAGE(INDEX(INDIRECT("input!" &amp; $F$112 &amp; ":" &amp; $F$112),FirstRowInput+Integration*COUNT($B$114:B504)):INDEX(INDIRECT("input!" &amp; $F$112 &amp; ":" &amp; $F$112),FirstRowInput+Integration*COUNT($B$114:B504)+Integration-1))*$F$110,"")</f>
        <v/>
      </c>
      <c r="G505" s="77" t="str">
        <f ca="1">IFERROR(AVERAGE(INDEX(INDIRECT("input!" &amp; $G$112 &amp; ":" &amp; $G$112),FirstRowInput+Integration*COUNT($B$114:B504)):INDEX(INDIRECT("input!" &amp; $G$112 &amp; ":" &amp; $G$112),FirstRowInput+Integration*COUNT($B$114:B504)+Integration-1))*$G$110,"")</f>
        <v/>
      </c>
      <c r="H505" s="77" t="str">
        <f ca="1">IFERROR(AVERAGE(INDEX(INDIRECT("input!" &amp; $H$112 &amp; ":" &amp; $H$112),FirstRowInput+Integration*COUNT($B$114:B504)):INDEX(INDIRECT("input!" &amp; $H$112 &amp; ":" &amp; $H$112),FirstRowInput+Integration*COUNT($B$114:B504)+Integration-1))*$H$110,"")</f>
        <v/>
      </c>
      <c r="I505" s="42">
        <v>393</v>
      </c>
      <c r="J505"/>
      <c r="K505"/>
      <c r="L505"/>
      <c r="M505"/>
      <c r="N505"/>
      <c r="O505"/>
      <c r="P505"/>
      <c r="Q505"/>
      <c r="R505"/>
      <c r="S505"/>
      <c r="T505"/>
      <c r="U505"/>
      <c r="V505"/>
      <c r="W505"/>
      <c r="X505"/>
      <c r="Y505"/>
      <c r="Z505"/>
      <c r="AA505"/>
      <c r="AB505"/>
      <c r="AC505"/>
      <c r="AD505"/>
      <c r="AE505"/>
      <c r="AF505"/>
      <c r="AG505"/>
      <c r="AH505"/>
      <c r="AI505"/>
      <c r="AJ505"/>
      <c r="AK505"/>
      <c r="AL505"/>
      <c r="AM505"/>
      <c r="AN505"/>
    </row>
    <row r="506" spans="1:40" x14ac:dyDescent="0.15">
      <c r="A506" s="75">
        <f ca="1">IFERROR(IF(AND(MAX($A$114:A505)&gt;A505+1, MAX($A$114:A505)&gt;20),0,IF(AND(D506="",G506=""),0,IF(OR(D506&gt;LimitSignB10, G506&gt;LimitSignB11),A505+1,0))),"")</f>
        <v>0</v>
      </c>
      <c r="B506" s="76" t="str">
        <f ca="1">IFERROR(MyTime(INDEX(INDIRECT("input!"&amp;$B$112&amp;":"&amp;$B$112),FirstRowInput+Integration*COUNT($B$114:B505)) )* $B$110,"")</f>
        <v/>
      </c>
      <c r="C506" s="77" t="str">
        <f ca="1">IFERROR(AVERAGE(INDEX(INDIRECT("input!" &amp; $C$112 &amp; ":" &amp; $C$112),FirstRowInput+Integration*COUNT($B$114:B505)):INDEX(INDIRECT("input!" &amp; $C$112 &amp; ":" &amp; $C$112),FirstRowInput+Integration*COUNT($B$114:B505)+Integration-1))*$C$110,"")</f>
        <v/>
      </c>
      <c r="D506" s="77" t="str">
        <f ca="1">IFERROR(AVERAGE(INDEX(INDIRECT("input!" &amp; $D$112 &amp; ":" &amp; $D$112),FirstRowInput+Integration*COUNT($B$114:B505)):INDEX(INDIRECT("input!" &amp; $D$112 &amp; ":" &amp; $D$112),FirstRowInput+Integration*COUNT($B$114:B505)+Integration-1))*$D$110,"")</f>
        <v/>
      </c>
      <c r="E506" s="77" t="str">
        <f ca="1">IFERROR(AVERAGE(INDEX(INDIRECT("input!" &amp; $E$112 &amp; ":" &amp; $E$112),FirstRowInput+Integration*COUNT($B$114:B505)):INDEX(INDIRECT("input!" &amp; $E$112 &amp; ":" &amp; $E$112),FirstRowInput+Integration*COUNT($B$114:B505)+Integration-1))*$E$110,"")</f>
        <v/>
      </c>
      <c r="F506" s="77" t="str">
        <f ca="1">IFERROR(AVERAGE(INDEX(INDIRECT("input!" &amp; $F$112 &amp; ":" &amp; $F$112),FirstRowInput+Integration*COUNT($B$114:B505)):INDEX(INDIRECT("input!" &amp; $F$112 &amp; ":" &amp; $F$112),FirstRowInput+Integration*COUNT($B$114:B505)+Integration-1))*$F$110,"")</f>
        <v/>
      </c>
      <c r="G506" s="77" t="str">
        <f ca="1">IFERROR(AVERAGE(INDEX(INDIRECT("input!" &amp; $G$112 &amp; ":" &amp; $G$112),FirstRowInput+Integration*COUNT($B$114:B505)):INDEX(INDIRECT("input!" &amp; $G$112 &amp; ":" &amp; $G$112),FirstRowInput+Integration*COUNT($B$114:B505)+Integration-1))*$G$110,"")</f>
        <v/>
      </c>
      <c r="H506" s="77" t="str">
        <f ca="1">IFERROR(AVERAGE(INDEX(INDIRECT("input!" &amp; $H$112 &amp; ":" &amp; $H$112),FirstRowInput+Integration*COUNT($B$114:B505)):INDEX(INDIRECT("input!" &amp; $H$112 &amp; ":" &amp; $H$112),FirstRowInput+Integration*COUNT($B$114:B505)+Integration-1))*$H$110,"")</f>
        <v/>
      </c>
      <c r="I506" s="42">
        <v>394</v>
      </c>
      <c r="J506"/>
      <c r="K506"/>
      <c r="L506"/>
      <c r="M506"/>
      <c r="N506"/>
      <c r="O506"/>
      <c r="P506"/>
      <c r="Q506"/>
      <c r="R506"/>
      <c r="S506"/>
      <c r="T506"/>
      <c r="U506"/>
      <c r="V506"/>
      <c r="W506"/>
      <c r="X506"/>
      <c r="Y506"/>
      <c r="Z506"/>
      <c r="AA506"/>
      <c r="AB506"/>
      <c r="AC506"/>
      <c r="AD506"/>
      <c r="AE506"/>
      <c r="AF506"/>
      <c r="AG506"/>
      <c r="AH506"/>
      <c r="AI506"/>
      <c r="AJ506"/>
      <c r="AK506"/>
      <c r="AL506"/>
      <c r="AM506"/>
      <c r="AN506"/>
    </row>
    <row r="507" spans="1:40" x14ac:dyDescent="0.15">
      <c r="A507" s="75">
        <f ca="1">IFERROR(IF(AND(MAX($A$114:A506)&gt;A506+1, MAX($A$114:A506)&gt;20),0,IF(AND(D507="",G507=""),0,IF(OR(D507&gt;LimitSignB10, G507&gt;LimitSignB11),A506+1,0))),"")</f>
        <v>0</v>
      </c>
      <c r="B507" s="76" t="str">
        <f ca="1">IFERROR(MyTime(INDEX(INDIRECT("input!"&amp;$B$112&amp;":"&amp;$B$112),FirstRowInput+Integration*COUNT($B$114:B506)) )* $B$110,"")</f>
        <v/>
      </c>
      <c r="C507" s="77" t="str">
        <f ca="1">IFERROR(AVERAGE(INDEX(INDIRECT("input!" &amp; $C$112 &amp; ":" &amp; $C$112),FirstRowInput+Integration*COUNT($B$114:B506)):INDEX(INDIRECT("input!" &amp; $C$112 &amp; ":" &amp; $C$112),FirstRowInput+Integration*COUNT($B$114:B506)+Integration-1))*$C$110,"")</f>
        <v/>
      </c>
      <c r="D507" s="77" t="str">
        <f ca="1">IFERROR(AVERAGE(INDEX(INDIRECT("input!" &amp; $D$112 &amp; ":" &amp; $D$112),FirstRowInput+Integration*COUNT($B$114:B506)):INDEX(INDIRECT("input!" &amp; $D$112 &amp; ":" &amp; $D$112),FirstRowInput+Integration*COUNT($B$114:B506)+Integration-1))*$D$110,"")</f>
        <v/>
      </c>
      <c r="E507" s="77" t="str">
        <f ca="1">IFERROR(AVERAGE(INDEX(INDIRECT("input!" &amp; $E$112 &amp; ":" &amp; $E$112),FirstRowInput+Integration*COUNT($B$114:B506)):INDEX(INDIRECT("input!" &amp; $E$112 &amp; ":" &amp; $E$112),FirstRowInput+Integration*COUNT($B$114:B506)+Integration-1))*$E$110,"")</f>
        <v/>
      </c>
      <c r="F507" s="77" t="str">
        <f ca="1">IFERROR(AVERAGE(INDEX(INDIRECT("input!" &amp; $F$112 &amp; ":" &amp; $F$112),FirstRowInput+Integration*COUNT($B$114:B506)):INDEX(INDIRECT("input!" &amp; $F$112 &amp; ":" &amp; $F$112),FirstRowInput+Integration*COUNT($B$114:B506)+Integration-1))*$F$110,"")</f>
        <v/>
      </c>
      <c r="G507" s="77" t="str">
        <f ca="1">IFERROR(AVERAGE(INDEX(INDIRECT("input!" &amp; $G$112 &amp; ":" &amp; $G$112),FirstRowInput+Integration*COUNT($B$114:B506)):INDEX(INDIRECT("input!" &amp; $G$112 &amp; ":" &amp; $G$112),FirstRowInput+Integration*COUNT($B$114:B506)+Integration-1))*$G$110,"")</f>
        <v/>
      </c>
      <c r="H507" s="77" t="str">
        <f ca="1">IFERROR(AVERAGE(INDEX(INDIRECT("input!" &amp; $H$112 &amp; ":" &amp; $H$112),FirstRowInput+Integration*COUNT($B$114:B506)):INDEX(INDIRECT("input!" &amp; $H$112 &amp; ":" &amp; $H$112),FirstRowInput+Integration*COUNT($B$114:B506)+Integration-1))*$H$110,"")</f>
        <v/>
      </c>
      <c r="I507" s="42">
        <v>395</v>
      </c>
      <c r="J507"/>
      <c r="K507"/>
      <c r="L507"/>
      <c r="M507"/>
      <c r="N507"/>
      <c r="O507"/>
      <c r="P507"/>
      <c r="Q507"/>
      <c r="R507"/>
      <c r="S507"/>
      <c r="T507"/>
      <c r="U507"/>
      <c r="V507"/>
      <c r="W507"/>
      <c r="X507"/>
      <c r="Y507"/>
      <c r="Z507"/>
      <c r="AA507"/>
      <c r="AB507"/>
      <c r="AC507"/>
      <c r="AD507"/>
      <c r="AE507"/>
      <c r="AF507"/>
      <c r="AG507"/>
      <c r="AH507"/>
      <c r="AI507"/>
      <c r="AJ507"/>
      <c r="AK507"/>
      <c r="AL507"/>
      <c r="AM507"/>
      <c r="AN507"/>
    </row>
    <row r="508" spans="1:40" x14ac:dyDescent="0.15">
      <c r="A508" s="75">
        <f ca="1">IFERROR(IF(AND(MAX($A$114:A507)&gt;A507+1, MAX($A$114:A507)&gt;20),0,IF(AND(D508="",G508=""),0,IF(OR(D508&gt;LimitSignB10, G508&gt;LimitSignB11),A507+1,0))),"")</f>
        <v>0</v>
      </c>
      <c r="B508" s="76" t="str">
        <f ca="1">IFERROR(MyTime(INDEX(INDIRECT("input!"&amp;$B$112&amp;":"&amp;$B$112),FirstRowInput+Integration*COUNT($B$114:B507)) )* $B$110,"")</f>
        <v/>
      </c>
      <c r="C508" s="77" t="str">
        <f ca="1">IFERROR(AVERAGE(INDEX(INDIRECT("input!" &amp; $C$112 &amp; ":" &amp; $C$112),FirstRowInput+Integration*COUNT($B$114:B507)):INDEX(INDIRECT("input!" &amp; $C$112 &amp; ":" &amp; $C$112),FirstRowInput+Integration*COUNT($B$114:B507)+Integration-1))*$C$110,"")</f>
        <v/>
      </c>
      <c r="D508" s="77" t="str">
        <f ca="1">IFERROR(AVERAGE(INDEX(INDIRECT("input!" &amp; $D$112 &amp; ":" &amp; $D$112),FirstRowInput+Integration*COUNT($B$114:B507)):INDEX(INDIRECT("input!" &amp; $D$112 &amp; ":" &amp; $D$112),FirstRowInput+Integration*COUNT($B$114:B507)+Integration-1))*$D$110,"")</f>
        <v/>
      </c>
      <c r="E508" s="77" t="str">
        <f ca="1">IFERROR(AVERAGE(INDEX(INDIRECT("input!" &amp; $E$112 &amp; ":" &amp; $E$112),FirstRowInput+Integration*COUNT($B$114:B507)):INDEX(INDIRECT("input!" &amp; $E$112 &amp; ":" &amp; $E$112),FirstRowInput+Integration*COUNT($B$114:B507)+Integration-1))*$E$110,"")</f>
        <v/>
      </c>
      <c r="F508" s="77" t="str">
        <f ca="1">IFERROR(AVERAGE(INDEX(INDIRECT("input!" &amp; $F$112 &amp; ":" &amp; $F$112),FirstRowInput+Integration*COUNT($B$114:B507)):INDEX(INDIRECT("input!" &amp; $F$112 &amp; ":" &amp; $F$112),FirstRowInput+Integration*COUNT($B$114:B507)+Integration-1))*$F$110,"")</f>
        <v/>
      </c>
      <c r="G508" s="77" t="str">
        <f ca="1">IFERROR(AVERAGE(INDEX(INDIRECT("input!" &amp; $G$112 &amp; ":" &amp; $G$112),FirstRowInput+Integration*COUNT($B$114:B507)):INDEX(INDIRECT("input!" &amp; $G$112 &amp; ":" &amp; $G$112),FirstRowInput+Integration*COUNT($B$114:B507)+Integration-1))*$G$110,"")</f>
        <v/>
      </c>
      <c r="H508" s="77" t="str">
        <f ca="1">IFERROR(AVERAGE(INDEX(INDIRECT("input!" &amp; $H$112 &amp; ":" &amp; $H$112),FirstRowInput+Integration*COUNT($B$114:B507)):INDEX(INDIRECT("input!" &amp; $H$112 &amp; ":" &amp; $H$112),FirstRowInput+Integration*COUNT($B$114:B507)+Integration-1))*$H$110,"")</f>
        <v/>
      </c>
      <c r="I508" s="42">
        <v>396</v>
      </c>
      <c r="J508"/>
      <c r="K508"/>
      <c r="L508"/>
      <c r="M508"/>
      <c r="N508"/>
      <c r="O508"/>
      <c r="P508"/>
      <c r="Q508"/>
      <c r="R508"/>
      <c r="S508"/>
      <c r="T508"/>
      <c r="U508"/>
      <c r="V508"/>
      <c r="W508"/>
      <c r="X508"/>
      <c r="Y508"/>
      <c r="Z508"/>
      <c r="AA508"/>
      <c r="AB508"/>
      <c r="AC508"/>
      <c r="AD508"/>
      <c r="AE508"/>
      <c r="AF508"/>
      <c r="AG508"/>
      <c r="AH508"/>
      <c r="AI508"/>
      <c r="AJ508"/>
      <c r="AK508"/>
      <c r="AL508"/>
      <c r="AM508"/>
      <c r="AN508"/>
    </row>
    <row r="509" spans="1:40" x14ac:dyDescent="0.15">
      <c r="A509" s="75">
        <f ca="1">IFERROR(IF(AND(MAX($A$114:A508)&gt;A508+1, MAX($A$114:A508)&gt;20),0,IF(AND(D509="",G509=""),0,IF(OR(D509&gt;LimitSignB10, G509&gt;LimitSignB11),A508+1,0))),"")</f>
        <v>0</v>
      </c>
      <c r="B509" s="76" t="str">
        <f ca="1">IFERROR(MyTime(INDEX(INDIRECT("input!"&amp;$B$112&amp;":"&amp;$B$112),FirstRowInput+Integration*COUNT($B$114:B508)) )* $B$110,"")</f>
        <v/>
      </c>
      <c r="C509" s="77" t="str">
        <f ca="1">IFERROR(AVERAGE(INDEX(INDIRECT("input!" &amp; $C$112 &amp; ":" &amp; $C$112),FirstRowInput+Integration*COUNT($B$114:B508)):INDEX(INDIRECT("input!" &amp; $C$112 &amp; ":" &amp; $C$112),FirstRowInput+Integration*COUNT($B$114:B508)+Integration-1))*$C$110,"")</f>
        <v/>
      </c>
      <c r="D509" s="77" t="str">
        <f ca="1">IFERROR(AVERAGE(INDEX(INDIRECT("input!" &amp; $D$112 &amp; ":" &amp; $D$112),FirstRowInput+Integration*COUNT($B$114:B508)):INDEX(INDIRECT("input!" &amp; $D$112 &amp; ":" &amp; $D$112),FirstRowInput+Integration*COUNT($B$114:B508)+Integration-1))*$D$110,"")</f>
        <v/>
      </c>
      <c r="E509" s="77" t="str">
        <f ca="1">IFERROR(AVERAGE(INDEX(INDIRECT("input!" &amp; $E$112 &amp; ":" &amp; $E$112),FirstRowInput+Integration*COUNT($B$114:B508)):INDEX(INDIRECT("input!" &amp; $E$112 &amp; ":" &amp; $E$112),FirstRowInput+Integration*COUNT($B$114:B508)+Integration-1))*$E$110,"")</f>
        <v/>
      </c>
      <c r="F509" s="77" t="str">
        <f ca="1">IFERROR(AVERAGE(INDEX(INDIRECT("input!" &amp; $F$112 &amp; ":" &amp; $F$112),FirstRowInput+Integration*COUNT($B$114:B508)):INDEX(INDIRECT("input!" &amp; $F$112 &amp; ":" &amp; $F$112),FirstRowInput+Integration*COUNT($B$114:B508)+Integration-1))*$F$110,"")</f>
        <v/>
      </c>
      <c r="G509" s="77" t="str">
        <f ca="1">IFERROR(AVERAGE(INDEX(INDIRECT("input!" &amp; $G$112 &amp; ":" &amp; $G$112),FirstRowInput+Integration*COUNT($B$114:B508)):INDEX(INDIRECT("input!" &amp; $G$112 &amp; ":" &amp; $G$112),FirstRowInput+Integration*COUNT($B$114:B508)+Integration-1))*$G$110,"")</f>
        <v/>
      </c>
      <c r="H509" s="77" t="str">
        <f ca="1">IFERROR(AVERAGE(INDEX(INDIRECT("input!" &amp; $H$112 &amp; ":" &amp; $H$112),FirstRowInput+Integration*COUNT($B$114:B508)):INDEX(INDIRECT("input!" &amp; $H$112 &amp; ":" &amp; $H$112),FirstRowInput+Integration*COUNT($B$114:B508)+Integration-1))*$H$110,"")</f>
        <v/>
      </c>
      <c r="I509" s="42">
        <v>397</v>
      </c>
      <c r="J509"/>
      <c r="K509"/>
      <c r="L509"/>
      <c r="M509"/>
      <c r="N509"/>
      <c r="O509"/>
      <c r="P509"/>
      <c r="Q509"/>
      <c r="R509"/>
      <c r="S509"/>
      <c r="T509"/>
      <c r="U509"/>
      <c r="V509"/>
      <c r="W509"/>
      <c r="X509"/>
      <c r="Y509"/>
      <c r="Z509"/>
      <c r="AA509"/>
      <c r="AB509"/>
      <c r="AC509"/>
      <c r="AD509"/>
      <c r="AE509"/>
      <c r="AF509"/>
      <c r="AG509"/>
      <c r="AH509"/>
      <c r="AI509"/>
      <c r="AJ509"/>
      <c r="AK509"/>
      <c r="AL509"/>
      <c r="AM509"/>
      <c r="AN509"/>
    </row>
    <row r="510" spans="1:40" x14ac:dyDescent="0.15">
      <c r="A510" s="75">
        <f ca="1">IFERROR(IF(AND(MAX($A$114:A509)&gt;A509+1, MAX($A$114:A509)&gt;20),0,IF(AND(D510="",G510=""),0,IF(OR(D510&gt;LimitSignB10, G510&gt;LimitSignB11),A509+1,0))),"")</f>
        <v>0</v>
      </c>
      <c r="B510" s="76" t="str">
        <f ca="1">IFERROR(MyTime(INDEX(INDIRECT("input!"&amp;$B$112&amp;":"&amp;$B$112),FirstRowInput+Integration*COUNT($B$114:B509)) )* $B$110,"")</f>
        <v/>
      </c>
      <c r="C510" s="77" t="str">
        <f ca="1">IFERROR(AVERAGE(INDEX(INDIRECT("input!" &amp; $C$112 &amp; ":" &amp; $C$112),FirstRowInput+Integration*COUNT($B$114:B509)):INDEX(INDIRECT("input!" &amp; $C$112 &amp; ":" &amp; $C$112),FirstRowInput+Integration*COUNT($B$114:B509)+Integration-1))*$C$110,"")</f>
        <v/>
      </c>
      <c r="D510" s="77" t="str">
        <f ca="1">IFERROR(AVERAGE(INDEX(INDIRECT("input!" &amp; $D$112 &amp; ":" &amp; $D$112),FirstRowInput+Integration*COUNT($B$114:B509)):INDEX(INDIRECT("input!" &amp; $D$112 &amp; ":" &amp; $D$112),FirstRowInput+Integration*COUNT($B$114:B509)+Integration-1))*$D$110,"")</f>
        <v/>
      </c>
      <c r="E510" s="77" t="str">
        <f ca="1">IFERROR(AVERAGE(INDEX(INDIRECT("input!" &amp; $E$112 &amp; ":" &amp; $E$112),FirstRowInput+Integration*COUNT($B$114:B509)):INDEX(INDIRECT("input!" &amp; $E$112 &amp; ":" &amp; $E$112),FirstRowInput+Integration*COUNT($B$114:B509)+Integration-1))*$E$110,"")</f>
        <v/>
      </c>
      <c r="F510" s="77" t="str">
        <f ca="1">IFERROR(AVERAGE(INDEX(INDIRECT("input!" &amp; $F$112 &amp; ":" &amp; $F$112),FirstRowInput+Integration*COUNT($B$114:B509)):INDEX(INDIRECT("input!" &amp; $F$112 &amp; ":" &amp; $F$112),FirstRowInput+Integration*COUNT($B$114:B509)+Integration-1))*$F$110,"")</f>
        <v/>
      </c>
      <c r="G510" s="77" t="str">
        <f ca="1">IFERROR(AVERAGE(INDEX(INDIRECT("input!" &amp; $G$112 &amp; ":" &amp; $G$112),FirstRowInput+Integration*COUNT($B$114:B509)):INDEX(INDIRECT("input!" &amp; $G$112 &amp; ":" &amp; $G$112),FirstRowInput+Integration*COUNT($B$114:B509)+Integration-1))*$G$110,"")</f>
        <v/>
      </c>
      <c r="H510" s="77" t="str">
        <f ca="1">IFERROR(AVERAGE(INDEX(INDIRECT("input!" &amp; $H$112 &amp; ":" &amp; $H$112),FirstRowInput+Integration*COUNT($B$114:B509)):INDEX(INDIRECT("input!" &amp; $H$112 &amp; ":" &amp; $H$112),FirstRowInput+Integration*COUNT($B$114:B509)+Integration-1))*$H$110,"")</f>
        <v/>
      </c>
      <c r="I510" s="42">
        <v>398</v>
      </c>
      <c r="J510"/>
      <c r="K510"/>
      <c r="L510"/>
      <c r="M510"/>
      <c r="N510"/>
      <c r="O510"/>
      <c r="P510"/>
      <c r="Q510"/>
      <c r="R510"/>
      <c r="S510"/>
      <c r="T510"/>
      <c r="U510"/>
      <c r="V510"/>
      <c r="W510"/>
      <c r="X510"/>
      <c r="Y510"/>
      <c r="Z510"/>
      <c r="AA510"/>
      <c r="AB510"/>
      <c r="AC510"/>
      <c r="AD510"/>
      <c r="AE510"/>
      <c r="AF510"/>
      <c r="AG510"/>
      <c r="AH510"/>
      <c r="AI510"/>
      <c r="AJ510"/>
      <c r="AK510"/>
      <c r="AL510"/>
      <c r="AM510"/>
      <c r="AN510"/>
    </row>
    <row r="511" spans="1:40" x14ac:dyDescent="0.15">
      <c r="A511" s="75">
        <f ca="1">IFERROR(IF(AND(MAX($A$114:A510)&gt;A510+1, MAX($A$114:A510)&gt;20),0,IF(AND(D511="",G511=""),0,IF(OR(D511&gt;LimitSignB10, G511&gt;LimitSignB11),A510+1,0))),"")</f>
        <v>0</v>
      </c>
      <c r="B511" s="76" t="str">
        <f ca="1">IFERROR(MyTime(INDEX(INDIRECT("input!"&amp;$B$112&amp;":"&amp;$B$112),FirstRowInput+Integration*COUNT($B$114:B510)) )* $B$110,"")</f>
        <v/>
      </c>
      <c r="C511" s="77" t="str">
        <f ca="1">IFERROR(AVERAGE(INDEX(INDIRECT("input!" &amp; $C$112 &amp; ":" &amp; $C$112),FirstRowInput+Integration*COUNT($B$114:B510)):INDEX(INDIRECT("input!" &amp; $C$112 &amp; ":" &amp; $C$112),FirstRowInput+Integration*COUNT($B$114:B510)+Integration-1))*$C$110,"")</f>
        <v/>
      </c>
      <c r="D511" s="77" t="str">
        <f ca="1">IFERROR(AVERAGE(INDEX(INDIRECT("input!" &amp; $D$112 &amp; ":" &amp; $D$112),FirstRowInput+Integration*COUNT($B$114:B510)):INDEX(INDIRECT("input!" &amp; $D$112 &amp; ":" &amp; $D$112),FirstRowInput+Integration*COUNT($B$114:B510)+Integration-1))*$D$110,"")</f>
        <v/>
      </c>
      <c r="E511" s="77" t="str">
        <f ca="1">IFERROR(AVERAGE(INDEX(INDIRECT("input!" &amp; $E$112 &amp; ":" &amp; $E$112),FirstRowInput+Integration*COUNT($B$114:B510)):INDEX(INDIRECT("input!" &amp; $E$112 &amp; ":" &amp; $E$112),FirstRowInput+Integration*COUNT($B$114:B510)+Integration-1))*$E$110,"")</f>
        <v/>
      </c>
      <c r="F511" s="77" t="str">
        <f ca="1">IFERROR(AVERAGE(INDEX(INDIRECT("input!" &amp; $F$112 &amp; ":" &amp; $F$112),FirstRowInput+Integration*COUNT($B$114:B510)):INDEX(INDIRECT("input!" &amp; $F$112 &amp; ":" &amp; $F$112),FirstRowInput+Integration*COUNT($B$114:B510)+Integration-1))*$F$110,"")</f>
        <v/>
      </c>
      <c r="G511" s="77" t="str">
        <f ca="1">IFERROR(AVERAGE(INDEX(INDIRECT("input!" &amp; $G$112 &amp; ":" &amp; $G$112),FirstRowInput+Integration*COUNT($B$114:B510)):INDEX(INDIRECT("input!" &amp; $G$112 &amp; ":" &amp; $G$112),FirstRowInput+Integration*COUNT($B$114:B510)+Integration-1))*$G$110,"")</f>
        <v/>
      </c>
      <c r="H511" s="77" t="str">
        <f ca="1">IFERROR(AVERAGE(INDEX(INDIRECT("input!" &amp; $H$112 &amp; ":" &amp; $H$112),FirstRowInput+Integration*COUNT($B$114:B510)):INDEX(INDIRECT("input!" &amp; $H$112 &amp; ":" &amp; $H$112),FirstRowInput+Integration*COUNT($B$114:B510)+Integration-1))*$H$110,"")</f>
        <v/>
      </c>
      <c r="I511" s="42">
        <v>399</v>
      </c>
      <c r="J511"/>
      <c r="K511"/>
      <c r="L511"/>
      <c r="M511"/>
      <c r="N511"/>
      <c r="O511"/>
      <c r="P511"/>
      <c r="Q511"/>
      <c r="R511"/>
      <c r="AA511"/>
      <c r="AB511"/>
      <c r="AC511"/>
      <c r="AD511"/>
      <c r="AE511"/>
      <c r="AF511"/>
      <c r="AG511"/>
      <c r="AH511"/>
      <c r="AI511"/>
      <c r="AJ511"/>
      <c r="AK511"/>
      <c r="AL511"/>
      <c r="AM511"/>
      <c r="AN511"/>
    </row>
  </sheetData>
  <dataConsolidate/>
  <mergeCells count="1">
    <mergeCell ref="O18:P19"/>
  </mergeCells>
  <conditionalFormatting sqref="Q113 Q207:Q308 D3:D100 K114:R307">
    <cfRule type="notContainsBlanks" dxfId="570" priority="7669">
      <formula>LEN(TRIM(D3))&gt;0</formula>
    </cfRule>
  </conditionalFormatting>
  <conditionalFormatting sqref="B112">
    <cfRule type="cellIs" dxfId="569" priority="258" operator="notEqual">
      <formula>"A"</formula>
    </cfRule>
  </conditionalFormatting>
  <conditionalFormatting sqref="L3:L100">
    <cfRule type="cellIs" dxfId="568" priority="139" operator="notBetween">
      <formula>$L$101+2*$L$102</formula>
      <formula>$L$101-2*$L$102</formula>
    </cfRule>
  </conditionalFormatting>
  <conditionalFormatting sqref="M3:M100">
    <cfRule type="cellIs" dxfId="567" priority="140" operator="notBetween">
      <formula>$M$101+2*$M$102</formula>
      <formula>$M$101-2*$M$102</formula>
    </cfRule>
  </conditionalFormatting>
  <conditionalFormatting sqref="H109">
    <cfRule type="cellIs" dxfId="566" priority="84" operator="notEqual">
      <formula>"g"</formula>
    </cfRule>
  </conditionalFormatting>
  <conditionalFormatting sqref="C109">
    <cfRule type="cellIs" dxfId="565" priority="83" operator="notEqual">
      <formula>"B"</formula>
    </cfRule>
  </conditionalFormatting>
  <conditionalFormatting sqref="D109">
    <cfRule type="cellIs" dxfId="564" priority="82" operator="notEqual">
      <formula>"c"</formula>
    </cfRule>
  </conditionalFormatting>
  <conditionalFormatting sqref="E109">
    <cfRule type="cellIs" dxfId="563" priority="81" operator="notEqual">
      <formula>"d"</formula>
    </cfRule>
  </conditionalFormatting>
  <conditionalFormatting sqref="F109">
    <cfRule type="cellIs" dxfId="562" priority="80" operator="notEqual">
      <formula>"e"</formula>
    </cfRule>
  </conditionalFormatting>
  <conditionalFormatting sqref="G109">
    <cfRule type="cellIs" dxfId="561" priority="79" operator="notEqual">
      <formula>"f"</formula>
    </cfRule>
  </conditionalFormatting>
  <conditionalFormatting sqref="H107">
    <cfRule type="cellIs" dxfId="560" priority="18" operator="notEqual">
      <formula>"g"</formula>
    </cfRule>
  </conditionalFormatting>
  <conditionalFormatting sqref="C107">
    <cfRule type="cellIs" dxfId="559" priority="17" operator="notEqual">
      <formula>"B"</formula>
    </cfRule>
  </conditionalFormatting>
  <conditionalFormatting sqref="D107">
    <cfRule type="cellIs" dxfId="558" priority="16" operator="notEqual">
      <formula>"c"</formula>
    </cfRule>
  </conditionalFormatting>
  <conditionalFormatting sqref="E107">
    <cfRule type="cellIs" dxfId="557" priority="15" operator="notEqual">
      <formula>"d"</formula>
    </cfRule>
  </conditionalFormatting>
  <conditionalFormatting sqref="F107">
    <cfRule type="cellIs" dxfId="556" priority="14" operator="notEqual">
      <formula>"e"</formula>
    </cfRule>
  </conditionalFormatting>
  <conditionalFormatting sqref="G107">
    <cfRule type="cellIs" dxfId="555" priority="13" operator="notEqual">
      <formula>"f"</formula>
    </cfRule>
  </conditionalFormatting>
  <conditionalFormatting sqref="H112">
    <cfRule type="cellIs" dxfId="554" priority="6" operator="notEqual">
      <formula>"g"</formula>
    </cfRule>
  </conditionalFormatting>
  <conditionalFormatting sqref="C112">
    <cfRule type="cellIs" dxfId="553" priority="5" operator="notEqual">
      <formula>"B"</formula>
    </cfRule>
  </conditionalFormatting>
  <conditionalFormatting sqref="D112">
    <cfRule type="cellIs" dxfId="552" priority="4" operator="notEqual">
      <formula>"c"</formula>
    </cfRule>
  </conditionalFormatting>
  <conditionalFormatting sqref="E112">
    <cfRule type="cellIs" dxfId="551" priority="3" operator="notEqual">
      <formula>"d"</formula>
    </cfRule>
  </conditionalFormatting>
  <conditionalFormatting sqref="F112">
    <cfRule type="cellIs" dxfId="550" priority="2" operator="notEqual">
      <formula>"e"</formula>
    </cfRule>
  </conditionalFormatting>
  <conditionalFormatting sqref="G112">
    <cfRule type="cellIs" dxfId="549" priority="1" operator="notEqual">
      <formula>"f"</formula>
    </cfRule>
  </conditionalFormatting>
  <conditionalFormatting sqref="J2:J100">
    <cfRule type="cellIs" dxfId="548" priority="7879" operator="notBetween">
      <formula>$J$101+2*$J$102</formula>
      <formula>$J$101-2*$J$102</formula>
    </cfRule>
  </conditionalFormatting>
  <conditionalFormatting sqref="K2:K100">
    <cfRule type="cellIs" dxfId="547" priority="7881" operator="notBetween">
      <formula>$K$101+2*$K$102</formula>
      <formula>$K$101-2*$K$102</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Spinner 1">
              <controlPr defaultSize="0" autoPict="0">
                <anchor moveWithCells="1" sizeWithCells="1">
                  <from>
                    <xdr:col>12</xdr:col>
                    <xdr:colOff>38100</xdr:colOff>
                    <xdr:row>0</xdr:row>
                    <xdr:rowOff>38100</xdr:rowOff>
                  </from>
                  <to>
                    <xdr:col>12</xdr:col>
                    <xdr:colOff>304800</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6">
    <tabColor theme="9" tint="-0.249977111117893"/>
    <pageSetUpPr fitToPage="1"/>
  </sheetPr>
  <dimension ref="A2:Z343"/>
  <sheetViews>
    <sheetView zoomScaleNormal="100" workbookViewId="0">
      <pane xSplit="21" ySplit="4" topLeftCell="V90" activePane="bottomRight" state="frozen"/>
      <selection activeCell="Y55" sqref="Y55"/>
      <selection pane="topRight" activeCell="Y55" sqref="Y55"/>
      <selection pane="bottomLeft" activeCell="Y55" sqref="Y55"/>
      <selection pane="bottomRight" activeCell="M324" sqref="M324"/>
    </sheetView>
  </sheetViews>
  <sheetFormatPr baseColWidth="10" defaultColWidth="8" defaultRowHeight="13" x14ac:dyDescent="0.15"/>
  <cols>
    <col min="1" max="1" width="11.6640625" style="223" bestFit="1" customWidth="1"/>
    <col min="2" max="2" width="18.6640625" style="91" customWidth="1"/>
    <col min="3" max="3" width="9" style="91" bestFit="1" customWidth="1"/>
    <col min="4" max="4" width="5.6640625" style="6" bestFit="1" customWidth="1"/>
    <col min="5" max="5" width="7" style="6" bestFit="1" customWidth="1"/>
    <col min="6" max="6" width="8.33203125" style="90" customWidth="1"/>
    <col min="7" max="7" width="10.1640625" style="90" customWidth="1"/>
    <col min="8" max="8" width="8.5" style="6" bestFit="1" customWidth="1"/>
    <col min="9" max="9" width="7.5" style="5" bestFit="1" customWidth="1"/>
    <col min="10" max="10" width="7.5" style="6" bestFit="1" customWidth="1"/>
    <col min="11" max="11" width="9.1640625" style="5" bestFit="1" customWidth="1"/>
    <col min="12" max="12" width="7.5" style="6" bestFit="1" customWidth="1"/>
    <col min="13" max="14" width="7" style="5" bestFit="1" customWidth="1"/>
    <col min="15" max="15" width="7.5" style="91" bestFit="1" customWidth="1"/>
    <col min="16" max="16" width="8.5" style="91" bestFit="1" customWidth="1"/>
    <col min="17" max="21" width="7" style="91" bestFit="1" customWidth="1"/>
    <col min="22" max="26" width="8" style="92" customWidth="1"/>
    <col min="27" max="16384" width="8" style="92"/>
  </cols>
  <sheetData>
    <row r="2" spans="1:26" x14ac:dyDescent="0.15">
      <c r="A2" s="91"/>
      <c r="F2" s="5"/>
      <c r="G2" s="91"/>
      <c r="V2" s="91"/>
    </row>
    <row r="3" spans="1:26" s="90" customFormat="1" ht="15" x14ac:dyDescent="0.15">
      <c r="A3" s="797" t="s">
        <v>22</v>
      </c>
      <c r="B3" s="90" t="s">
        <v>23</v>
      </c>
      <c r="C3" s="93" t="s">
        <v>41</v>
      </c>
      <c r="D3" s="6" t="s">
        <v>24</v>
      </c>
      <c r="E3" s="6" t="s">
        <v>25</v>
      </c>
      <c r="F3" s="94" t="s">
        <v>26</v>
      </c>
      <c r="G3" s="95" t="s">
        <v>367</v>
      </c>
      <c r="H3" s="5" t="s">
        <v>28</v>
      </c>
      <c r="I3" s="95" t="s">
        <v>368</v>
      </c>
      <c r="J3" s="5" t="s">
        <v>28</v>
      </c>
      <c r="K3" s="799" t="s">
        <v>370</v>
      </c>
      <c r="L3" s="55"/>
      <c r="M3" s="55"/>
      <c r="N3" s="55"/>
      <c r="O3" s="55"/>
      <c r="P3" s="55"/>
      <c r="Q3" s="55"/>
      <c r="R3" s="55"/>
      <c r="S3" s="55"/>
      <c r="T3" s="55"/>
      <c r="U3" s="55"/>
    </row>
    <row r="4" spans="1:26" s="90" customFormat="1" ht="15" x14ac:dyDescent="0.15">
      <c r="A4" s="798"/>
      <c r="B4" s="224" t="s">
        <v>0</v>
      </c>
      <c r="C4" s="225" t="s">
        <v>33</v>
      </c>
      <c r="D4" s="226" t="s">
        <v>34</v>
      </c>
      <c r="E4" s="226" t="s">
        <v>34</v>
      </c>
      <c r="F4" s="227" t="s">
        <v>17</v>
      </c>
      <c r="G4" s="228" t="s">
        <v>47</v>
      </c>
      <c r="H4" s="227" t="s">
        <v>35</v>
      </c>
      <c r="I4" s="228" t="s">
        <v>47</v>
      </c>
      <c r="J4" s="227" t="s">
        <v>35</v>
      </c>
      <c r="K4" s="800"/>
      <c r="L4" s="55"/>
      <c r="M4" s="55"/>
      <c r="N4" s="55"/>
      <c r="O4" s="55"/>
      <c r="P4" s="55"/>
      <c r="Q4" s="55"/>
      <c r="R4" s="55"/>
      <c r="S4" s="55"/>
      <c r="T4" s="55"/>
      <c r="U4" s="55"/>
      <c r="V4" s="96"/>
    </row>
    <row r="5" spans="1:26" s="90" customFormat="1" ht="15" x14ac:dyDescent="0.15">
      <c r="A5" s="91"/>
      <c r="B5" s="91"/>
      <c r="C5" s="5"/>
      <c r="D5" s="5"/>
      <c r="E5" s="6"/>
      <c r="F5" s="5"/>
      <c r="H5" s="97"/>
      <c r="I5" s="5"/>
      <c r="J5" s="97"/>
      <c r="K5" s="5"/>
      <c r="L5" s="97"/>
      <c r="M5" s="5"/>
      <c r="N5" s="5"/>
      <c r="O5" s="91"/>
      <c r="P5" s="91"/>
      <c r="Q5" s="91"/>
      <c r="R5" s="91"/>
      <c r="S5" s="91"/>
      <c r="T5" s="91"/>
      <c r="U5" s="91"/>
    </row>
    <row r="6" spans="1:26" ht="14.25" customHeight="1" x14ac:dyDescent="0.15">
      <c r="A6" s="344" t="str">
        <f>'Tab1'!A128</f>
        <v>009_U</v>
      </c>
      <c r="B6" s="91" t="str">
        <f>IF('Tab1'!B128&lt;&gt;"",'Tab1'!B128,"")</f>
        <v>Agate</v>
      </c>
      <c r="C6" s="91">
        <f>'Tab1'!F128</f>
        <v>3.1939348991256282</v>
      </c>
      <c r="D6" s="91" t="e">
        <f>'Tab1'!#REF!</f>
        <v>#REF!</v>
      </c>
      <c r="E6" s="91">
        <f>IF('Tab1'!AH128&lt;0,"",'Tab1'!AH128)</f>
        <v>4.5889883910130562</v>
      </c>
      <c r="F6" s="6" t="e">
        <f>'Tab1'!#REF!</f>
        <v>#REF!</v>
      </c>
      <c r="G6" s="91" t="e">
        <f>1/'Tab1'!#REF!</f>
        <v>#REF!</v>
      </c>
      <c r="H6" s="91" t="e">
        <f>IF(G6="","",'Tab1'!#REF!)</f>
        <v>#REF!</v>
      </c>
      <c r="I6" s="91" t="e">
        <f>IF(H6="","",'Tab1'!Y128)</f>
        <v>#REF!</v>
      </c>
      <c r="J6" s="91" t="e">
        <f>IF(I6="","",'Tab1'!Z128)</f>
        <v>#REF!</v>
      </c>
      <c r="K6" s="91" t="e">
        <f>IF(J6="","",'Tab1'!#REF!)</f>
        <v>#REF!</v>
      </c>
      <c r="L6" s="55"/>
      <c r="M6" s="55"/>
      <c r="N6" s="55"/>
      <c r="O6" s="7"/>
      <c r="P6" s="7"/>
      <c r="Q6" s="7"/>
      <c r="R6" s="7"/>
      <c r="S6" s="7"/>
      <c r="T6" s="7"/>
      <c r="U6" s="7"/>
      <c r="V6" s="5"/>
      <c r="W6" s="98"/>
      <c r="X6" s="98"/>
      <c r="Y6" s="98"/>
      <c r="Z6" s="98"/>
    </row>
    <row r="7" spans="1:26" ht="14.25" customHeight="1" x14ac:dyDescent="0.15">
      <c r="A7" s="344" t="str">
        <f>'Tab1'!A129</f>
        <v>010_U</v>
      </c>
      <c r="B7" s="91" t="str">
        <f>IF('Tab1'!B129&lt;&gt;"",'Tab1'!B129,"")</f>
        <v>Agate</v>
      </c>
      <c r="C7" s="91">
        <f>'Tab1'!F129</f>
        <v>3.2407477281577264</v>
      </c>
      <c r="D7" s="91" t="e">
        <f>'Tab1'!#REF!</f>
        <v>#REF!</v>
      </c>
      <c r="E7" s="91">
        <f>IF('Tab1'!AH129&lt;0,"",'Tab1'!AH129)</f>
        <v>4.9214239418859114</v>
      </c>
      <c r="F7" s="6" t="e">
        <f>'Tab1'!#REF!</f>
        <v>#REF!</v>
      </c>
      <c r="G7" s="91" t="e">
        <f>1/'Tab1'!#REF!</f>
        <v>#REF!</v>
      </c>
      <c r="H7" s="91" t="e">
        <f>IF(G7="","",'Tab1'!#REF!)</f>
        <v>#REF!</v>
      </c>
      <c r="I7" s="91" t="e">
        <f>IF(H7="","",'Tab1'!Y129)</f>
        <v>#REF!</v>
      </c>
      <c r="J7" s="91" t="e">
        <f>IF(I7="","",'Tab1'!Z129)</f>
        <v>#REF!</v>
      </c>
      <c r="K7" s="91" t="e">
        <f>IF(J7="","",'Tab1'!#REF!)</f>
        <v>#REF!</v>
      </c>
      <c r="L7" s="55"/>
      <c r="M7" s="55"/>
      <c r="N7" s="55"/>
      <c r="O7" s="7"/>
      <c r="P7" s="7"/>
      <c r="Q7" s="7"/>
      <c r="R7" s="7"/>
      <c r="S7" s="7"/>
      <c r="T7" s="7"/>
      <c r="U7" s="7"/>
      <c r="V7" s="5"/>
      <c r="W7" s="98"/>
      <c r="X7" s="98"/>
      <c r="Y7" s="98"/>
      <c r="Z7" s="98"/>
    </row>
    <row r="8" spans="1:26" ht="14.25" customHeight="1" x14ac:dyDescent="0.15">
      <c r="A8" s="344" t="str">
        <f>'Tab1'!A130</f>
        <v>011_U</v>
      </c>
      <c r="B8" s="91" t="str">
        <f>IF('Tab1'!B130&lt;&gt;"",'Tab1'!B130,"")</f>
        <v>Agate</v>
      </c>
      <c r="C8" s="91">
        <f>'Tab1'!F130</f>
        <v>2.8717801679410022</v>
      </c>
      <c r="D8" s="91" t="e">
        <f>'Tab1'!#REF!</f>
        <v>#REF!</v>
      </c>
      <c r="E8" s="91">
        <f>IF('Tab1'!AH130&lt;0,"",'Tab1'!AH130)</f>
        <v>4.6611668661285588</v>
      </c>
      <c r="F8" s="6" t="e">
        <f>'Tab1'!#REF!</f>
        <v>#REF!</v>
      </c>
      <c r="G8" s="91" t="e">
        <f>1/'Tab1'!#REF!</f>
        <v>#REF!</v>
      </c>
      <c r="H8" s="91" t="e">
        <f>IF(G8="","",'Tab1'!#REF!)</f>
        <v>#REF!</v>
      </c>
      <c r="I8" s="91" t="e">
        <f>IF(H8="","",'Tab1'!Y130)</f>
        <v>#REF!</v>
      </c>
      <c r="J8" s="91" t="e">
        <f>IF(I8="","",'Tab1'!Z130)</f>
        <v>#REF!</v>
      </c>
      <c r="K8" s="91" t="e">
        <f>IF(J8="","",'Tab1'!#REF!)</f>
        <v>#REF!</v>
      </c>
      <c r="L8" s="55"/>
      <c r="M8" s="55"/>
      <c r="N8" s="55"/>
      <c r="O8" s="7"/>
      <c r="P8" s="7"/>
      <c r="Q8" s="7"/>
      <c r="R8" s="7"/>
      <c r="S8" s="7"/>
      <c r="T8" s="7"/>
      <c r="U8" s="7"/>
      <c r="V8" s="5"/>
      <c r="W8" s="98"/>
      <c r="X8" s="98"/>
      <c r="Y8" s="98"/>
      <c r="Z8" s="98"/>
    </row>
    <row r="9" spans="1:26" ht="14.25" customHeight="1" x14ac:dyDescent="0.15">
      <c r="A9" s="344" t="str">
        <f>'Tab1'!A131</f>
        <v>012_U</v>
      </c>
      <c r="B9" s="91" t="str">
        <f>IF('Tab1'!B131&lt;&gt;"",'Tab1'!B131,"")</f>
        <v>Agate</v>
      </c>
      <c r="C9" s="91">
        <f>'Tab1'!F131</f>
        <v>3.2330323907505814</v>
      </c>
      <c r="D9" s="91" t="e">
        <f>'Tab1'!#REF!</f>
        <v>#REF!</v>
      </c>
      <c r="E9" s="91">
        <f>IF('Tab1'!AH131&lt;0,"",'Tab1'!AH131)</f>
        <v>4.6182755458191664</v>
      </c>
      <c r="F9" s="6" t="e">
        <f>'Tab1'!#REF!</f>
        <v>#REF!</v>
      </c>
      <c r="G9" s="91" t="e">
        <f>1/'Tab1'!#REF!</f>
        <v>#REF!</v>
      </c>
      <c r="H9" s="91" t="e">
        <f>IF(G9="","",'Tab1'!#REF!)</f>
        <v>#REF!</v>
      </c>
      <c r="I9" s="91" t="e">
        <f>IF(H9="","",'Tab1'!Y131)</f>
        <v>#REF!</v>
      </c>
      <c r="J9" s="91" t="e">
        <f>IF(I9="","",'Tab1'!Z131)</f>
        <v>#REF!</v>
      </c>
      <c r="K9" s="91" t="e">
        <f>IF(J9="","",'Tab1'!#REF!)</f>
        <v>#REF!</v>
      </c>
      <c r="L9" s="55"/>
      <c r="M9" s="55"/>
      <c r="N9" s="55"/>
      <c r="O9" s="7"/>
      <c r="P9" s="7"/>
      <c r="Q9" s="7"/>
      <c r="R9" s="7"/>
      <c r="S9" s="7"/>
      <c r="T9" s="7"/>
      <c r="U9" s="7"/>
      <c r="V9" s="5"/>
      <c r="W9" s="98"/>
      <c r="X9" s="98"/>
      <c r="Y9" s="98"/>
      <c r="Z9" s="98"/>
    </row>
    <row r="10" spans="1:26" ht="14.25" customHeight="1" x14ac:dyDescent="0.15">
      <c r="A10" s="344" t="e">
        <f>'Tab1'!#REF!</f>
        <v>#REF!</v>
      </c>
      <c r="B10" s="91" t="e">
        <f>IF('Tab1'!#REF!&lt;&gt;"",'Tab1'!#REF!,"")</f>
        <v>#REF!</v>
      </c>
      <c r="C10" s="91" t="e">
        <f>'Tab1'!#REF!</f>
        <v>#REF!</v>
      </c>
      <c r="D10" s="91" t="e">
        <f>'Tab1'!#REF!</f>
        <v>#REF!</v>
      </c>
      <c r="E10" s="91" t="e">
        <f>IF('Tab1'!#REF!&lt;0,"",'Tab1'!#REF!)</f>
        <v>#REF!</v>
      </c>
      <c r="F10" s="6" t="e">
        <f>'Tab1'!#REF!</f>
        <v>#REF!</v>
      </c>
      <c r="G10" s="91" t="e">
        <f>1/'Tab1'!#REF!</f>
        <v>#REF!</v>
      </c>
      <c r="H10" s="91" t="e">
        <f>IF(G10="","",'Tab1'!#REF!)</f>
        <v>#REF!</v>
      </c>
      <c r="I10" s="91" t="e">
        <f>IF(H10="","",'Tab1'!#REF!)</f>
        <v>#REF!</v>
      </c>
      <c r="J10" s="91" t="e">
        <f>IF(I10="","",'Tab1'!#REF!)</f>
        <v>#REF!</v>
      </c>
      <c r="K10" s="91" t="e">
        <f>IF(J10="","",'Tab1'!#REF!)</f>
        <v>#REF!</v>
      </c>
      <c r="L10" s="55"/>
      <c r="M10" s="55"/>
      <c r="N10" s="55"/>
      <c r="O10" s="7"/>
      <c r="P10" s="7"/>
      <c r="Q10" s="7"/>
      <c r="R10" s="7"/>
      <c r="S10" s="7"/>
      <c r="T10" s="7"/>
      <c r="U10" s="7"/>
      <c r="V10" s="5"/>
      <c r="W10" s="98"/>
      <c r="X10" s="98"/>
      <c r="Y10" s="98"/>
      <c r="Z10" s="98"/>
    </row>
    <row r="11" spans="1:26" ht="14.25" customHeight="1" x14ac:dyDescent="0.15">
      <c r="A11" s="344" t="e">
        <f>'Tab1'!#REF!</f>
        <v>#REF!</v>
      </c>
      <c r="B11" s="91" t="e">
        <f>IF('Tab1'!#REF!&lt;&gt;"",'Tab1'!#REF!,"")</f>
        <v>#REF!</v>
      </c>
      <c r="C11" s="91" t="e">
        <f>'Tab1'!#REF!</f>
        <v>#REF!</v>
      </c>
      <c r="D11" s="91" t="e">
        <f>'Tab1'!#REF!</f>
        <v>#REF!</v>
      </c>
      <c r="E11" s="91" t="e">
        <f>IF('Tab1'!#REF!&lt;0,"",'Tab1'!#REF!)</f>
        <v>#REF!</v>
      </c>
      <c r="F11" s="6" t="e">
        <f>'Tab1'!#REF!</f>
        <v>#REF!</v>
      </c>
      <c r="G11" s="91" t="e">
        <f>1/'Tab1'!#REF!</f>
        <v>#REF!</v>
      </c>
      <c r="H11" s="91" t="e">
        <f>IF(G11="","",'Tab1'!#REF!)</f>
        <v>#REF!</v>
      </c>
      <c r="I11" s="91" t="e">
        <f>IF(H11="","",'Tab1'!#REF!)</f>
        <v>#REF!</v>
      </c>
      <c r="J11" s="91" t="e">
        <f>IF(I11="","",'Tab1'!#REF!)</f>
        <v>#REF!</v>
      </c>
      <c r="K11" s="91" t="e">
        <f>IF(J11="","",'Tab1'!#REF!)</f>
        <v>#REF!</v>
      </c>
      <c r="L11" s="55"/>
      <c r="M11" s="55"/>
      <c r="N11" s="55"/>
      <c r="O11" s="7"/>
      <c r="P11" s="7"/>
      <c r="Q11" s="7"/>
      <c r="R11" s="7"/>
      <c r="S11" s="7"/>
      <c r="T11" s="7"/>
      <c r="U11" s="7"/>
      <c r="V11" s="5"/>
      <c r="W11" s="98"/>
      <c r="X11" s="98"/>
      <c r="Y11" s="98"/>
      <c r="Z11" s="98"/>
    </row>
    <row r="12" spans="1:26" ht="14.25" customHeight="1" x14ac:dyDescent="0.15">
      <c r="A12" s="344" t="e">
        <f>'Tab1'!#REF!</f>
        <v>#REF!</v>
      </c>
      <c r="B12" s="91" t="e">
        <f>IF('Tab1'!#REF!&lt;&gt;"",'Tab1'!#REF!,"")</f>
        <v>#REF!</v>
      </c>
      <c r="C12" s="91" t="e">
        <f>'Tab1'!#REF!</f>
        <v>#REF!</v>
      </c>
      <c r="D12" s="91" t="e">
        <f>'Tab1'!#REF!</f>
        <v>#REF!</v>
      </c>
      <c r="E12" s="91" t="e">
        <f>IF('Tab1'!#REF!&lt;0,"",'Tab1'!#REF!)</f>
        <v>#REF!</v>
      </c>
      <c r="F12" s="6" t="e">
        <f>'Tab1'!#REF!</f>
        <v>#REF!</v>
      </c>
      <c r="G12" s="91" t="e">
        <f>1/'Tab1'!#REF!</f>
        <v>#REF!</v>
      </c>
      <c r="H12" s="91" t="e">
        <f>IF(G12="","",'Tab1'!#REF!)</f>
        <v>#REF!</v>
      </c>
      <c r="I12" s="91" t="e">
        <f>IF(H12="","",'Tab1'!#REF!)</f>
        <v>#REF!</v>
      </c>
      <c r="J12" s="91" t="e">
        <f>IF(I12="","",'Tab1'!#REF!)</f>
        <v>#REF!</v>
      </c>
      <c r="K12" s="91" t="e">
        <f>IF(J12="","",'Tab1'!#REF!)</f>
        <v>#REF!</v>
      </c>
      <c r="L12" s="55"/>
      <c r="M12" s="55"/>
      <c r="N12" s="55"/>
      <c r="O12" s="7"/>
      <c r="P12" s="7"/>
      <c r="Q12" s="7"/>
      <c r="R12" s="7"/>
      <c r="S12" s="7"/>
      <c r="T12" s="7"/>
      <c r="U12" s="7"/>
      <c r="V12" s="5"/>
      <c r="W12" s="98"/>
      <c r="X12" s="98"/>
      <c r="Y12" s="98"/>
      <c r="Z12" s="98"/>
    </row>
    <row r="13" spans="1:26" ht="14.25" customHeight="1" x14ac:dyDescent="0.15">
      <c r="A13" s="344" t="e">
        <f>'Tab1'!#REF!</f>
        <v>#REF!</v>
      </c>
      <c r="B13" s="91" t="e">
        <f>IF('Tab1'!#REF!&lt;&gt;"",'Tab1'!#REF!,"")</f>
        <v>#REF!</v>
      </c>
      <c r="C13" s="91" t="e">
        <f>'Tab1'!#REF!</f>
        <v>#REF!</v>
      </c>
      <c r="D13" s="91" t="e">
        <f>'Tab1'!#REF!</f>
        <v>#REF!</v>
      </c>
      <c r="E13" s="91" t="e">
        <f>IF('Tab1'!#REF!&lt;0,"",'Tab1'!#REF!)</f>
        <v>#REF!</v>
      </c>
      <c r="F13" s="6" t="e">
        <f>'Tab1'!#REF!</f>
        <v>#REF!</v>
      </c>
      <c r="G13" s="91" t="e">
        <f>1/'Tab1'!#REF!</f>
        <v>#REF!</v>
      </c>
      <c r="H13" s="91" t="e">
        <f>IF(G13="","",'Tab1'!#REF!)</f>
        <v>#REF!</v>
      </c>
      <c r="I13" s="91" t="e">
        <f>IF(H13="","",'Tab1'!#REF!)</f>
        <v>#REF!</v>
      </c>
      <c r="J13" s="91" t="e">
        <f>IF(I13="","",'Tab1'!#REF!)</f>
        <v>#REF!</v>
      </c>
      <c r="K13" s="91" t="e">
        <f>IF(J13="","",'Tab1'!#REF!)</f>
        <v>#REF!</v>
      </c>
      <c r="L13" s="55"/>
      <c r="M13" s="55"/>
      <c r="N13" s="55"/>
      <c r="O13" s="7"/>
      <c r="P13" s="7"/>
      <c r="Q13" s="7"/>
      <c r="R13" s="7"/>
      <c r="S13" s="7"/>
      <c r="T13" s="7"/>
      <c r="U13" s="7"/>
      <c r="V13" s="5"/>
      <c r="W13" s="98"/>
      <c r="X13" s="98"/>
      <c r="Y13" s="98"/>
      <c r="Z13" s="98"/>
    </row>
    <row r="14" spans="1:26" ht="14.25" customHeight="1" x14ac:dyDescent="0.15">
      <c r="A14" s="344" t="e">
        <f>'Tab1'!#REF!</f>
        <v>#REF!</v>
      </c>
      <c r="B14" s="91" t="e">
        <f>IF('Tab1'!#REF!&lt;&gt;"",'Tab1'!#REF!,"")</f>
        <v>#REF!</v>
      </c>
      <c r="C14" s="91" t="e">
        <f>'Tab1'!#REF!</f>
        <v>#REF!</v>
      </c>
      <c r="D14" s="91" t="e">
        <f>'Tab1'!#REF!</f>
        <v>#REF!</v>
      </c>
      <c r="E14" s="91" t="e">
        <f>IF('Tab1'!#REF!&lt;0,"",'Tab1'!#REF!)</f>
        <v>#REF!</v>
      </c>
      <c r="F14" s="6" t="e">
        <f>'Tab1'!#REF!</f>
        <v>#REF!</v>
      </c>
      <c r="G14" s="91" t="e">
        <f>1/'Tab1'!#REF!</f>
        <v>#REF!</v>
      </c>
      <c r="H14" s="91" t="e">
        <f>IF(G14="","",'Tab1'!#REF!)</f>
        <v>#REF!</v>
      </c>
      <c r="I14" s="91" t="e">
        <f>IF(H14="","",'Tab1'!#REF!)</f>
        <v>#REF!</v>
      </c>
      <c r="J14" s="91" t="e">
        <f>IF(I14="","",'Tab1'!#REF!)</f>
        <v>#REF!</v>
      </c>
      <c r="K14" s="91" t="e">
        <f>IF(J14="","",'Tab1'!#REF!)</f>
        <v>#REF!</v>
      </c>
      <c r="L14" s="55"/>
      <c r="M14" s="55"/>
      <c r="N14" s="55"/>
      <c r="O14" s="7"/>
      <c r="P14" s="7"/>
      <c r="Q14" s="7"/>
      <c r="R14" s="7"/>
      <c r="S14" s="7"/>
      <c r="T14" s="7"/>
      <c r="U14" s="7"/>
      <c r="V14" s="5"/>
      <c r="W14" s="98"/>
      <c r="X14" s="98"/>
      <c r="Y14" s="98"/>
      <c r="Z14" s="98"/>
    </row>
    <row r="15" spans="1:26" ht="14.25" customHeight="1" x14ac:dyDescent="0.15">
      <c r="A15" s="344" t="e">
        <f>'Tab1'!#REF!</f>
        <v>#REF!</v>
      </c>
      <c r="B15" s="91" t="e">
        <f>IF('Tab1'!#REF!&lt;&gt;"",'Tab1'!#REF!,"")</f>
        <v>#REF!</v>
      </c>
      <c r="C15" s="91" t="e">
        <f>'Tab1'!#REF!</f>
        <v>#REF!</v>
      </c>
      <c r="D15" s="91" t="e">
        <f>'Tab1'!#REF!</f>
        <v>#REF!</v>
      </c>
      <c r="E15" s="91" t="e">
        <f>IF('Tab1'!#REF!&lt;0,"",'Tab1'!#REF!)</f>
        <v>#REF!</v>
      </c>
      <c r="F15" s="6" t="e">
        <f>'Tab1'!#REF!</f>
        <v>#REF!</v>
      </c>
      <c r="G15" s="91" t="e">
        <f>1/'Tab1'!#REF!</f>
        <v>#REF!</v>
      </c>
      <c r="H15" s="91" t="e">
        <f>IF(G15="","",'Tab1'!#REF!)</f>
        <v>#REF!</v>
      </c>
      <c r="I15" s="91" t="e">
        <f>IF(H15="","",'Tab1'!#REF!)</f>
        <v>#REF!</v>
      </c>
      <c r="J15" s="91" t="e">
        <f>IF(I15="","",'Tab1'!#REF!)</f>
        <v>#REF!</v>
      </c>
      <c r="K15" s="91" t="e">
        <f>IF(J15="","",'Tab1'!#REF!)</f>
        <v>#REF!</v>
      </c>
      <c r="L15" s="55"/>
      <c r="M15" s="55"/>
      <c r="N15" s="55"/>
      <c r="O15" s="7"/>
      <c r="P15" s="7"/>
      <c r="Q15" s="7"/>
      <c r="R15" s="7"/>
      <c r="S15" s="7"/>
      <c r="T15" s="7"/>
      <c r="U15" s="7"/>
      <c r="V15" s="5"/>
      <c r="W15" s="98"/>
      <c r="X15" s="98"/>
      <c r="Y15" s="98"/>
      <c r="Z15" s="98"/>
    </row>
    <row r="16" spans="1:26" ht="14.25" customHeight="1" x14ac:dyDescent="0.15">
      <c r="A16" s="344" t="e">
        <f>'Tab1'!#REF!</f>
        <v>#REF!</v>
      </c>
      <c r="B16" s="91" t="e">
        <f>IF('Tab1'!#REF!&lt;&gt;"",'Tab1'!#REF!,"")</f>
        <v>#REF!</v>
      </c>
      <c r="C16" s="91" t="e">
        <f>'Tab1'!#REF!</f>
        <v>#REF!</v>
      </c>
      <c r="D16" s="91" t="e">
        <f>'Tab1'!#REF!</f>
        <v>#REF!</v>
      </c>
      <c r="E16" s="91" t="e">
        <f>IF('Tab1'!#REF!&lt;0,"",'Tab1'!#REF!)</f>
        <v>#REF!</v>
      </c>
      <c r="F16" s="6" t="e">
        <f>'Tab1'!#REF!</f>
        <v>#REF!</v>
      </c>
      <c r="G16" s="91" t="e">
        <f>1/'Tab1'!#REF!</f>
        <v>#REF!</v>
      </c>
      <c r="H16" s="91" t="e">
        <f>IF(G16="","",'Tab1'!#REF!)</f>
        <v>#REF!</v>
      </c>
      <c r="I16" s="91" t="e">
        <f>IF(H16="","",'Tab1'!#REF!)</f>
        <v>#REF!</v>
      </c>
      <c r="J16" s="91" t="e">
        <f>IF(I16="","",'Tab1'!#REF!)</f>
        <v>#REF!</v>
      </c>
      <c r="K16" s="91" t="e">
        <f>IF(J16="","",'Tab1'!#REF!)</f>
        <v>#REF!</v>
      </c>
      <c r="L16" s="55"/>
      <c r="M16" s="55"/>
      <c r="N16" s="55"/>
      <c r="O16" s="7"/>
      <c r="P16" s="7"/>
      <c r="Q16" s="7"/>
      <c r="R16" s="7"/>
      <c r="S16" s="7"/>
      <c r="T16" s="7"/>
      <c r="U16" s="7"/>
      <c r="V16" s="5"/>
      <c r="W16" s="98"/>
      <c r="X16" s="98"/>
      <c r="Y16" s="98"/>
      <c r="Z16" s="98"/>
    </row>
    <row r="17" spans="1:26" ht="14.25" customHeight="1" x14ac:dyDescent="0.15">
      <c r="A17" s="344" t="e">
        <f>'Tab1'!#REF!</f>
        <v>#REF!</v>
      </c>
      <c r="B17" s="91" t="e">
        <f>IF('Tab1'!#REF!&lt;&gt;"",'Tab1'!#REF!,"")</f>
        <v>#REF!</v>
      </c>
      <c r="C17" s="91" t="e">
        <f>'Tab1'!#REF!</f>
        <v>#REF!</v>
      </c>
      <c r="D17" s="91" t="e">
        <f>'Tab1'!#REF!</f>
        <v>#REF!</v>
      </c>
      <c r="E17" s="91" t="e">
        <f>IF('Tab1'!#REF!&lt;0,"",'Tab1'!#REF!)</f>
        <v>#REF!</v>
      </c>
      <c r="F17" s="6" t="e">
        <f>'Tab1'!#REF!</f>
        <v>#REF!</v>
      </c>
      <c r="G17" s="91" t="e">
        <f>1/'Tab1'!#REF!</f>
        <v>#REF!</v>
      </c>
      <c r="H17" s="91" t="e">
        <f>IF(G17="","",'Tab1'!#REF!)</f>
        <v>#REF!</v>
      </c>
      <c r="I17" s="91" t="e">
        <f>IF(H17="","",'Tab1'!#REF!)</f>
        <v>#REF!</v>
      </c>
      <c r="J17" s="91" t="e">
        <f>IF(I17="","",'Tab1'!#REF!)</f>
        <v>#REF!</v>
      </c>
      <c r="K17" s="91" t="e">
        <f>IF(J17="","",'Tab1'!#REF!)</f>
        <v>#REF!</v>
      </c>
      <c r="L17" s="55"/>
      <c r="M17" s="55"/>
      <c r="N17" s="55"/>
      <c r="O17" s="7"/>
      <c r="P17" s="7"/>
      <c r="Q17" s="7"/>
      <c r="R17" s="7"/>
      <c r="S17" s="7"/>
      <c r="T17" s="7"/>
      <c r="U17" s="7"/>
      <c r="V17" s="5"/>
      <c r="W17" s="98"/>
      <c r="X17" s="98"/>
      <c r="Y17" s="98"/>
      <c r="Z17" s="98"/>
    </row>
    <row r="18" spans="1:26" ht="14.25" customHeight="1" x14ac:dyDescent="0.15">
      <c r="A18" s="344" t="e">
        <f>'Tab1'!#REF!</f>
        <v>#REF!</v>
      </c>
      <c r="B18" s="91" t="e">
        <f>IF('Tab1'!#REF!&lt;&gt;"",'Tab1'!#REF!,"")</f>
        <v>#REF!</v>
      </c>
      <c r="C18" s="91" t="e">
        <f>'Tab1'!#REF!</f>
        <v>#REF!</v>
      </c>
      <c r="D18" s="91" t="e">
        <f>'Tab1'!#REF!</f>
        <v>#REF!</v>
      </c>
      <c r="E18" s="91" t="e">
        <f>IF('Tab1'!#REF!&lt;0,"",'Tab1'!#REF!)</f>
        <v>#REF!</v>
      </c>
      <c r="F18" s="6" t="e">
        <f>'Tab1'!#REF!</f>
        <v>#REF!</v>
      </c>
      <c r="G18" s="91" t="e">
        <f>1/'Tab1'!#REF!</f>
        <v>#REF!</v>
      </c>
      <c r="H18" s="91" t="e">
        <f>IF(G18="","",'Tab1'!#REF!)</f>
        <v>#REF!</v>
      </c>
      <c r="I18" s="91" t="e">
        <f>IF(H18="","",'Tab1'!#REF!)</f>
        <v>#REF!</v>
      </c>
      <c r="J18" s="91" t="e">
        <f>IF(I18="","",'Tab1'!#REF!)</f>
        <v>#REF!</v>
      </c>
      <c r="K18" s="91" t="e">
        <f>IF(J18="","",'Tab1'!#REF!)</f>
        <v>#REF!</v>
      </c>
      <c r="L18" s="55"/>
      <c r="M18" s="55"/>
      <c r="N18" s="55"/>
      <c r="O18" s="7"/>
      <c r="P18" s="7"/>
      <c r="Q18" s="7"/>
      <c r="R18" s="7"/>
      <c r="S18" s="7"/>
      <c r="T18" s="7"/>
      <c r="U18" s="7"/>
      <c r="V18" s="5"/>
      <c r="W18" s="98"/>
      <c r="X18" s="98"/>
      <c r="Y18" s="98"/>
      <c r="Z18" s="98"/>
    </row>
    <row r="19" spans="1:26" ht="14.25" customHeight="1" x14ac:dyDescent="0.15">
      <c r="A19" s="344" t="e">
        <f>'Tab1'!#REF!</f>
        <v>#REF!</v>
      </c>
      <c r="B19" s="91" t="e">
        <f>IF('Tab1'!#REF!&lt;&gt;"",'Tab1'!#REF!,"")</f>
        <v>#REF!</v>
      </c>
      <c r="C19" s="91" t="e">
        <f>'Tab1'!#REF!</f>
        <v>#REF!</v>
      </c>
      <c r="D19" s="91" t="e">
        <f>'Tab1'!#REF!</f>
        <v>#REF!</v>
      </c>
      <c r="E19" s="91" t="e">
        <f>IF('Tab1'!#REF!&lt;0,"",'Tab1'!#REF!)</f>
        <v>#REF!</v>
      </c>
      <c r="F19" s="6" t="e">
        <f>'Tab1'!#REF!</f>
        <v>#REF!</v>
      </c>
      <c r="G19" s="91" t="e">
        <f>1/'Tab1'!#REF!</f>
        <v>#REF!</v>
      </c>
      <c r="H19" s="91" t="e">
        <f>IF(G19="","",'Tab1'!#REF!)</f>
        <v>#REF!</v>
      </c>
      <c r="I19" s="91" t="e">
        <f>IF(H19="","",'Tab1'!#REF!)</f>
        <v>#REF!</v>
      </c>
      <c r="J19" s="91" t="e">
        <f>IF(I19="","",'Tab1'!#REF!)</f>
        <v>#REF!</v>
      </c>
      <c r="K19" s="91" t="e">
        <f>IF(J19="","",'Tab1'!#REF!)</f>
        <v>#REF!</v>
      </c>
      <c r="L19" s="55"/>
      <c r="M19" s="55"/>
      <c r="N19" s="55"/>
      <c r="O19" s="7"/>
      <c r="P19" s="7"/>
      <c r="Q19" s="7"/>
      <c r="R19" s="7"/>
      <c r="S19" s="7"/>
      <c r="T19" s="7"/>
      <c r="U19" s="7"/>
      <c r="V19" s="5"/>
      <c r="W19" s="98"/>
      <c r="X19" s="98"/>
      <c r="Y19" s="98"/>
      <c r="Z19" s="98"/>
    </row>
    <row r="20" spans="1:26" ht="14.25" customHeight="1" x14ac:dyDescent="0.15">
      <c r="A20" s="344" t="e">
        <f>'Tab1'!#REF!</f>
        <v>#REF!</v>
      </c>
      <c r="B20" s="91" t="e">
        <f>IF('Tab1'!#REF!&lt;&gt;"",'Tab1'!#REF!,"")</f>
        <v>#REF!</v>
      </c>
      <c r="C20" s="91" t="e">
        <f>'Tab1'!#REF!</f>
        <v>#REF!</v>
      </c>
      <c r="D20" s="91" t="e">
        <f>'Tab1'!#REF!</f>
        <v>#REF!</v>
      </c>
      <c r="E20" s="91" t="e">
        <f>IF('Tab1'!#REF!&lt;0,"",'Tab1'!#REF!)</f>
        <v>#REF!</v>
      </c>
      <c r="F20" s="6" t="e">
        <f>'Tab1'!#REF!</f>
        <v>#REF!</v>
      </c>
      <c r="G20" s="91" t="e">
        <f>1/'Tab1'!#REF!</f>
        <v>#REF!</v>
      </c>
      <c r="H20" s="91" t="e">
        <f>IF(G20="","",'Tab1'!#REF!)</f>
        <v>#REF!</v>
      </c>
      <c r="I20" s="91" t="e">
        <f>IF(H20="","",'Tab1'!#REF!)</f>
        <v>#REF!</v>
      </c>
      <c r="J20" s="91" t="e">
        <f>IF(I20="","",'Tab1'!#REF!)</f>
        <v>#REF!</v>
      </c>
      <c r="K20" s="91" t="e">
        <f>IF(J20="","",'Tab1'!#REF!)</f>
        <v>#REF!</v>
      </c>
      <c r="L20" s="55"/>
      <c r="M20" s="55"/>
      <c r="N20" s="55"/>
      <c r="O20" s="7"/>
      <c r="P20" s="7"/>
      <c r="Q20" s="7"/>
      <c r="R20" s="7"/>
      <c r="S20" s="7"/>
      <c r="T20" s="7"/>
      <c r="U20" s="7"/>
      <c r="V20" s="5"/>
      <c r="W20" s="98"/>
      <c r="X20" s="98"/>
      <c r="Y20" s="98"/>
      <c r="Z20" s="98"/>
    </row>
    <row r="21" spans="1:26" ht="14.25" customHeight="1" x14ac:dyDescent="0.15">
      <c r="A21" s="344" t="e">
        <f>'Tab1'!#REF!</f>
        <v>#REF!</v>
      </c>
      <c r="B21" s="91" t="e">
        <f>IF('Tab1'!#REF!&lt;&gt;"",'Tab1'!#REF!,"")</f>
        <v>#REF!</v>
      </c>
      <c r="C21" s="91" t="e">
        <f>'Tab1'!#REF!</f>
        <v>#REF!</v>
      </c>
      <c r="D21" s="91" t="e">
        <f>'Tab1'!#REF!</f>
        <v>#REF!</v>
      </c>
      <c r="E21" s="91" t="e">
        <f>IF('Tab1'!#REF!&lt;0,"",'Tab1'!#REF!)</f>
        <v>#REF!</v>
      </c>
      <c r="F21" s="6" t="e">
        <f>'Tab1'!#REF!</f>
        <v>#REF!</v>
      </c>
      <c r="G21" s="91" t="e">
        <f>1/'Tab1'!#REF!</f>
        <v>#REF!</v>
      </c>
      <c r="H21" s="91" t="e">
        <f>IF(G21="","",'Tab1'!#REF!)</f>
        <v>#REF!</v>
      </c>
      <c r="I21" s="91" t="e">
        <f>IF(H21="","",'Tab1'!#REF!)</f>
        <v>#REF!</v>
      </c>
      <c r="J21" s="91" t="e">
        <f>IF(I21="","",'Tab1'!#REF!)</f>
        <v>#REF!</v>
      </c>
      <c r="K21" s="91" t="e">
        <f>IF(J21="","",'Tab1'!#REF!)</f>
        <v>#REF!</v>
      </c>
      <c r="L21" s="55"/>
      <c r="M21" s="55"/>
      <c r="N21" s="55"/>
      <c r="O21" s="7"/>
      <c r="P21" s="7"/>
      <c r="Q21" s="7"/>
      <c r="R21" s="7"/>
      <c r="S21" s="7"/>
      <c r="T21" s="7"/>
      <c r="U21" s="7"/>
      <c r="V21" s="5"/>
      <c r="W21" s="98"/>
      <c r="X21" s="98"/>
      <c r="Y21" s="98"/>
      <c r="Z21" s="98"/>
    </row>
    <row r="22" spans="1:26" ht="14.25" customHeight="1" x14ac:dyDescent="0.15">
      <c r="A22" s="344" t="e">
        <f>'Tab1'!#REF!</f>
        <v>#REF!</v>
      </c>
      <c r="B22" s="91" t="e">
        <f>IF('Tab1'!#REF!&lt;&gt;"",'Tab1'!#REF!,"")</f>
        <v>#REF!</v>
      </c>
      <c r="C22" s="91" t="e">
        <f>'Tab1'!#REF!</f>
        <v>#REF!</v>
      </c>
      <c r="D22" s="91" t="e">
        <f>'Tab1'!#REF!</f>
        <v>#REF!</v>
      </c>
      <c r="E22" s="91" t="e">
        <f>IF('Tab1'!#REF!&lt;0,"",'Tab1'!#REF!)</f>
        <v>#REF!</v>
      </c>
      <c r="F22" s="6" t="e">
        <f>'Tab1'!#REF!</f>
        <v>#REF!</v>
      </c>
      <c r="G22" s="91" t="e">
        <f>1/'Tab1'!#REF!</f>
        <v>#REF!</v>
      </c>
      <c r="H22" s="91" t="e">
        <f>IF(G22="","",'Tab1'!#REF!)</f>
        <v>#REF!</v>
      </c>
      <c r="I22" s="91" t="e">
        <f>IF(H22="","",'Tab1'!#REF!)</f>
        <v>#REF!</v>
      </c>
      <c r="J22" s="91" t="e">
        <f>IF(I22="","",'Tab1'!#REF!)</f>
        <v>#REF!</v>
      </c>
      <c r="K22" s="91" t="e">
        <f>IF(J22="","",'Tab1'!#REF!)</f>
        <v>#REF!</v>
      </c>
      <c r="L22" s="55"/>
      <c r="M22" s="55"/>
      <c r="N22" s="55"/>
      <c r="O22" s="7"/>
      <c r="P22" s="7"/>
      <c r="Q22" s="7"/>
      <c r="R22" s="7"/>
      <c r="S22" s="7"/>
      <c r="T22" s="7"/>
      <c r="U22" s="7"/>
      <c r="V22" s="5"/>
      <c r="W22" s="98"/>
      <c r="X22" s="98"/>
      <c r="Y22" s="98"/>
      <c r="Z22" s="98"/>
    </row>
    <row r="23" spans="1:26" ht="14.25" customHeight="1" x14ac:dyDescent="0.15">
      <c r="A23" s="344" t="e">
        <f>'Tab1'!#REF!</f>
        <v>#REF!</v>
      </c>
      <c r="B23" s="91" t="e">
        <f>IF('Tab1'!#REF!&lt;&gt;"",'Tab1'!#REF!,"")</f>
        <v>#REF!</v>
      </c>
      <c r="C23" s="91" t="e">
        <f>'Tab1'!#REF!</f>
        <v>#REF!</v>
      </c>
      <c r="D23" s="91" t="e">
        <f>'Tab1'!#REF!</f>
        <v>#REF!</v>
      </c>
      <c r="E23" s="91" t="e">
        <f>IF('Tab1'!#REF!&lt;0,"",'Tab1'!#REF!)</f>
        <v>#REF!</v>
      </c>
      <c r="F23" s="6" t="e">
        <f>'Tab1'!#REF!</f>
        <v>#REF!</v>
      </c>
      <c r="G23" s="91" t="e">
        <f>1/'Tab1'!#REF!</f>
        <v>#REF!</v>
      </c>
      <c r="H23" s="91" t="e">
        <f>IF(G23="","",'Tab1'!#REF!)</f>
        <v>#REF!</v>
      </c>
      <c r="I23" s="91" t="e">
        <f>IF(H23="","",'Tab1'!#REF!)</f>
        <v>#REF!</v>
      </c>
      <c r="J23" s="91" t="e">
        <f>IF(I23="","",'Tab1'!#REF!)</f>
        <v>#REF!</v>
      </c>
      <c r="K23" s="91" t="e">
        <f>IF(J23="","",'Tab1'!#REF!)</f>
        <v>#REF!</v>
      </c>
      <c r="L23" s="55"/>
      <c r="M23" s="55"/>
      <c r="N23" s="55"/>
      <c r="O23" s="7"/>
      <c r="P23" s="7"/>
      <c r="Q23" s="7"/>
      <c r="R23" s="7"/>
      <c r="S23" s="7"/>
      <c r="T23" s="7"/>
      <c r="U23" s="7"/>
      <c r="V23" s="5"/>
      <c r="W23" s="98"/>
      <c r="X23" s="98"/>
      <c r="Y23" s="98"/>
      <c r="Z23" s="98"/>
    </row>
    <row r="24" spans="1:26" ht="14.25" customHeight="1" x14ac:dyDescent="0.15">
      <c r="A24" s="344" t="e">
        <f>'Tab1'!#REF!</f>
        <v>#REF!</v>
      </c>
      <c r="B24" s="91" t="e">
        <f>IF('Tab1'!#REF!&lt;&gt;"",'Tab1'!#REF!,"")</f>
        <v>#REF!</v>
      </c>
      <c r="C24" s="91" t="e">
        <f>'Tab1'!#REF!</f>
        <v>#REF!</v>
      </c>
      <c r="D24" s="91" t="e">
        <f>'Tab1'!#REF!</f>
        <v>#REF!</v>
      </c>
      <c r="E24" s="91" t="e">
        <f>IF('Tab1'!#REF!&lt;0,"",'Tab1'!#REF!)</f>
        <v>#REF!</v>
      </c>
      <c r="F24" s="6" t="e">
        <f>'Tab1'!#REF!</f>
        <v>#REF!</v>
      </c>
      <c r="G24" s="91" t="e">
        <f>1/'Tab1'!#REF!</f>
        <v>#REF!</v>
      </c>
      <c r="H24" s="91" t="e">
        <f>IF(G24="","",'Tab1'!#REF!)</f>
        <v>#REF!</v>
      </c>
      <c r="I24" s="91" t="e">
        <f>IF(H24="","",'Tab1'!#REF!)</f>
        <v>#REF!</v>
      </c>
      <c r="J24" s="91" t="e">
        <f>IF(I24="","",'Tab1'!#REF!)</f>
        <v>#REF!</v>
      </c>
      <c r="K24" s="91" t="e">
        <f>IF(J24="","",'Tab1'!#REF!)</f>
        <v>#REF!</v>
      </c>
      <c r="L24" s="55"/>
      <c r="M24" s="55"/>
      <c r="N24" s="55"/>
      <c r="O24" s="7"/>
      <c r="P24" s="7"/>
      <c r="Q24" s="7"/>
      <c r="R24" s="7"/>
      <c r="S24" s="7"/>
      <c r="T24" s="7"/>
      <c r="U24" s="7"/>
      <c r="V24" s="5"/>
      <c r="W24" s="98"/>
      <c r="X24" s="98"/>
      <c r="Y24" s="98"/>
      <c r="Z24" s="98"/>
    </row>
    <row r="25" spans="1:26" ht="14.25" customHeight="1" x14ac:dyDescent="0.15">
      <c r="A25" s="344" t="e">
        <f>'Tab1'!#REF!</f>
        <v>#REF!</v>
      </c>
      <c r="B25" s="91" t="e">
        <f>IF('Tab1'!#REF!&lt;&gt;"",'Tab1'!#REF!,"")</f>
        <v>#REF!</v>
      </c>
      <c r="C25" s="91" t="e">
        <f>'Tab1'!#REF!</f>
        <v>#REF!</v>
      </c>
      <c r="D25" s="91" t="e">
        <f>'Tab1'!#REF!</f>
        <v>#REF!</v>
      </c>
      <c r="E25" s="91" t="e">
        <f>IF('Tab1'!#REF!&lt;0,"",'Tab1'!#REF!)</f>
        <v>#REF!</v>
      </c>
      <c r="F25" s="6" t="e">
        <f>'Tab1'!#REF!</f>
        <v>#REF!</v>
      </c>
      <c r="G25" s="91" t="e">
        <f>1/'Tab1'!#REF!</f>
        <v>#REF!</v>
      </c>
      <c r="H25" s="91" t="e">
        <f>IF(G25="","",'Tab1'!#REF!)</f>
        <v>#REF!</v>
      </c>
      <c r="I25" s="91" t="e">
        <f>IF(H25="","",'Tab1'!#REF!)</f>
        <v>#REF!</v>
      </c>
      <c r="J25" s="91" t="e">
        <f>IF(I25="","",'Tab1'!#REF!)</f>
        <v>#REF!</v>
      </c>
      <c r="K25" s="91" t="e">
        <f>IF(J25="","",'Tab1'!#REF!)</f>
        <v>#REF!</v>
      </c>
      <c r="L25" s="55"/>
      <c r="M25" s="55"/>
      <c r="N25" s="55"/>
      <c r="O25" s="7"/>
      <c r="P25" s="7"/>
      <c r="Q25" s="7"/>
      <c r="R25" s="7"/>
      <c r="S25" s="7"/>
      <c r="T25" s="7"/>
      <c r="U25" s="7"/>
      <c r="V25" s="5"/>
      <c r="W25" s="98"/>
      <c r="X25" s="98"/>
      <c r="Y25" s="98"/>
      <c r="Z25" s="98"/>
    </row>
    <row r="26" spans="1:26" ht="14.25" customHeight="1" x14ac:dyDescent="0.15">
      <c r="A26" s="344" t="e">
        <f>'Tab1'!#REF!</f>
        <v>#REF!</v>
      </c>
      <c r="B26" s="91" t="e">
        <f>IF('Tab1'!#REF!&lt;&gt;"",'Tab1'!#REF!,"")</f>
        <v>#REF!</v>
      </c>
      <c r="C26" s="91" t="e">
        <f>'Tab1'!#REF!</f>
        <v>#REF!</v>
      </c>
      <c r="D26" s="91" t="e">
        <f>'Tab1'!#REF!</f>
        <v>#REF!</v>
      </c>
      <c r="E26" s="91" t="e">
        <f>IF('Tab1'!#REF!&lt;0,"",'Tab1'!#REF!)</f>
        <v>#REF!</v>
      </c>
      <c r="F26" s="6" t="e">
        <f>'Tab1'!#REF!</f>
        <v>#REF!</v>
      </c>
      <c r="G26" s="91" t="e">
        <f>1/'Tab1'!#REF!</f>
        <v>#REF!</v>
      </c>
      <c r="H26" s="91" t="e">
        <f>IF(G26="","",'Tab1'!#REF!)</f>
        <v>#REF!</v>
      </c>
      <c r="I26" s="91" t="e">
        <f>IF(H26="","",'Tab1'!#REF!)</f>
        <v>#REF!</v>
      </c>
      <c r="J26" s="91" t="e">
        <f>IF(I26="","",'Tab1'!#REF!)</f>
        <v>#REF!</v>
      </c>
      <c r="K26" s="91" t="e">
        <f>IF(J26="","",'Tab1'!#REF!)</f>
        <v>#REF!</v>
      </c>
      <c r="L26" s="55"/>
      <c r="M26" s="55"/>
      <c r="N26" s="55"/>
      <c r="O26" s="7"/>
      <c r="P26" s="7"/>
      <c r="Q26" s="7"/>
      <c r="R26" s="7"/>
      <c r="S26" s="7"/>
      <c r="T26" s="7"/>
      <c r="U26" s="7"/>
      <c r="V26" s="5"/>
      <c r="W26" s="98"/>
      <c r="X26" s="98"/>
      <c r="Y26" s="98"/>
      <c r="Z26" s="98"/>
    </row>
    <row r="27" spans="1:26" ht="14.25" customHeight="1" x14ac:dyDescent="0.15">
      <c r="A27" s="344" t="e">
        <f>'Tab1'!#REF!</f>
        <v>#REF!</v>
      </c>
      <c r="B27" s="91" t="e">
        <f>IF('Tab1'!#REF!&lt;&gt;"",'Tab1'!#REF!,"")</f>
        <v>#REF!</v>
      </c>
      <c r="C27" s="91" t="e">
        <f>'Tab1'!#REF!</f>
        <v>#REF!</v>
      </c>
      <c r="D27" s="91" t="e">
        <f>'Tab1'!#REF!</f>
        <v>#REF!</v>
      </c>
      <c r="E27" s="91" t="e">
        <f>IF('Tab1'!#REF!&lt;0,"",'Tab1'!#REF!)</f>
        <v>#REF!</v>
      </c>
      <c r="F27" s="6" t="e">
        <f>'Tab1'!#REF!</f>
        <v>#REF!</v>
      </c>
      <c r="G27" s="91" t="e">
        <f>1/'Tab1'!#REF!</f>
        <v>#REF!</v>
      </c>
      <c r="H27" s="91" t="e">
        <f>IF(G27="","",'Tab1'!#REF!)</f>
        <v>#REF!</v>
      </c>
      <c r="I27" s="91" t="e">
        <f>IF(H27="","",'Tab1'!#REF!)</f>
        <v>#REF!</v>
      </c>
      <c r="J27" s="91" t="e">
        <f>IF(I27="","",'Tab1'!#REF!)</f>
        <v>#REF!</v>
      </c>
      <c r="K27" s="91" t="e">
        <f>IF(J27="","",'Tab1'!#REF!)</f>
        <v>#REF!</v>
      </c>
      <c r="L27" s="55"/>
      <c r="M27" s="55"/>
      <c r="N27" s="55"/>
      <c r="O27" s="7"/>
      <c r="P27" s="7"/>
      <c r="Q27" s="7"/>
      <c r="R27" s="7"/>
      <c r="S27" s="7"/>
      <c r="T27" s="7"/>
      <c r="U27" s="7"/>
      <c r="V27" s="5"/>
      <c r="W27" s="98"/>
      <c r="X27" s="98"/>
      <c r="Y27" s="98"/>
      <c r="Z27" s="98"/>
    </row>
    <row r="28" spans="1:26" ht="14.25" customHeight="1" x14ac:dyDescent="0.15">
      <c r="A28" s="344" t="e">
        <f>'Tab1'!#REF!</f>
        <v>#REF!</v>
      </c>
      <c r="B28" s="91" t="e">
        <f>IF('Tab1'!#REF!&lt;&gt;"",'Tab1'!#REF!,"")</f>
        <v>#REF!</v>
      </c>
      <c r="C28" s="91" t="e">
        <f>'Tab1'!#REF!</f>
        <v>#REF!</v>
      </c>
      <c r="D28" s="91" t="e">
        <f>'Tab1'!#REF!</f>
        <v>#REF!</v>
      </c>
      <c r="E28" s="91" t="e">
        <f>IF('Tab1'!#REF!&lt;0,"",'Tab1'!#REF!)</f>
        <v>#REF!</v>
      </c>
      <c r="F28" s="6" t="e">
        <f>'Tab1'!#REF!</f>
        <v>#REF!</v>
      </c>
      <c r="G28" s="91" t="e">
        <f>1/'Tab1'!#REF!</f>
        <v>#REF!</v>
      </c>
      <c r="H28" s="91" t="e">
        <f>IF(G28="","",'Tab1'!#REF!)</f>
        <v>#REF!</v>
      </c>
      <c r="I28" s="91" t="e">
        <f>IF(H28="","",'Tab1'!#REF!)</f>
        <v>#REF!</v>
      </c>
      <c r="J28" s="91" t="e">
        <f>IF(I28="","",'Tab1'!#REF!)</f>
        <v>#REF!</v>
      </c>
      <c r="K28" s="91" t="e">
        <f>IF(J28="","",'Tab1'!#REF!)</f>
        <v>#REF!</v>
      </c>
      <c r="L28" s="55"/>
      <c r="M28" s="55"/>
      <c r="N28" s="55"/>
      <c r="O28" s="7"/>
      <c r="P28" s="7"/>
      <c r="Q28" s="7"/>
      <c r="R28" s="7"/>
      <c r="S28" s="7"/>
      <c r="T28" s="7"/>
      <c r="U28" s="7"/>
      <c r="V28" s="5"/>
      <c r="W28" s="98"/>
      <c r="X28" s="98"/>
      <c r="Y28" s="98"/>
      <c r="Z28" s="98"/>
    </row>
    <row r="29" spans="1:26" ht="14.25" customHeight="1" x14ac:dyDescent="0.15">
      <c r="A29" s="344" t="e">
        <f>'Tab1'!#REF!</f>
        <v>#REF!</v>
      </c>
      <c r="B29" s="91" t="e">
        <f>IF('Tab1'!#REF!&lt;&gt;"",'Tab1'!#REF!,"")</f>
        <v>#REF!</v>
      </c>
      <c r="C29" s="91" t="e">
        <f>'Tab1'!#REF!</f>
        <v>#REF!</v>
      </c>
      <c r="D29" s="91" t="e">
        <f>'Tab1'!#REF!</f>
        <v>#REF!</v>
      </c>
      <c r="E29" s="91" t="e">
        <f>IF('Tab1'!#REF!&lt;0,"",'Tab1'!#REF!)</f>
        <v>#REF!</v>
      </c>
      <c r="F29" s="6" t="e">
        <f>'Tab1'!#REF!</f>
        <v>#REF!</v>
      </c>
      <c r="G29" s="91" t="e">
        <f>1/'Tab1'!#REF!</f>
        <v>#REF!</v>
      </c>
      <c r="H29" s="91" t="e">
        <f>IF(G29="","",'Tab1'!#REF!)</f>
        <v>#REF!</v>
      </c>
      <c r="I29" s="91" t="e">
        <f>IF(H29="","",'Tab1'!#REF!)</f>
        <v>#REF!</v>
      </c>
      <c r="J29" s="91" t="e">
        <f>IF(I29="","",'Tab1'!#REF!)</f>
        <v>#REF!</v>
      </c>
      <c r="K29" s="91" t="e">
        <f>IF(J29="","",'Tab1'!#REF!)</f>
        <v>#REF!</v>
      </c>
      <c r="L29" s="55"/>
      <c r="M29" s="55"/>
      <c r="N29" s="55"/>
      <c r="O29" s="7"/>
      <c r="P29" s="7"/>
      <c r="Q29" s="7"/>
      <c r="R29" s="7"/>
      <c r="S29" s="7"/>
      <c r="T29" s="7"/>
      <c r="U29" s="7"/>
      <c r="V29" s="5"/>
      <c r="W29" s="98"/>
      <c r="X29" s="98"/>
      <c r="Y29" s="98"/>
      <c r="Z29" s="98"/>
    </row>
    <row r="30" spans="1:26" ht="14.25" customHeight="1" x14ac:dyDescent="0.15">
      <c r="A30" s="344" t="e">
        <f>'Tab1'!#REF!</f>
        <v>#REF!</v>
      </c>
      <c r="B30" s="91" t="e">
        <f>IF('Tab1'!#REF!&lt;&gt;"",'Tab1'!#REF!,"")</f>
        <v>#REF!</v>
      </c>
      <c r="C30" s="91" t="e">
        <f>'Tab1'!#REF!</f>
        <v>#REF!</v>
      </c>
      <c r="D30" s="91" t="e">
        <f>'Tab1'!#REF!</f>
        <v>#REF!</v>
      </c>
      <c r="E30" s="91" t="e">
        <f>IF('Tab1'!#REF!&lt;0,"",'Tab1'!#REF!)</f>
        <v>#REF!</v>
      </c>
      <c r="F30" s="6" t="e">
        <f>'Tab1'!#REF!</f>
        <v>#REF!</v>
      </c>
      <c r="G30" s="91" t="e">
        <f>1/'Tab1'!#REF!</f>
        <v>#REF!</v>
      </c>
      <c r="H30" s="91" t="e">
        <f>IF(G30="","",'Tab1'!#REF!)</f>
        <v>#REF!</v>
      </c>
      <c r="I30" s="91" t="e">
        <f>IF(H30="","",'Tab1'!#REF!)</f>
        <v>#REF!</v>
      </c>
      <c r="J30" s="91" t="e">
        <f>IF(I30="","",'Tab1'!#REF!)</f>
        <v>#REF!</v>
      </c>
      <c r="K30" s="91" t="e">
        <f>IF(J30="","",'Tab1'!#REF!)</f>
        <v>#REF!</v>
      </c>
      <c r="L30" s="55"/>
      <c r="M30" s="55"/>
      <c r="N30" s="55"/>
      <c r="O30" s="7"/>
      <c r="P30" s="7"/>
      <c r="Q30" s="7"/>
      <c r="R30" s="7"/>
      <c r="S30" s="7"/>
      <c r="T30" s="7"/>
      <c r="U30" s="7"/>
      <c r="V30" s="5"/>
      <c r="W30" s="98"/>
      <c r="X30" s="98"/>
      <c r="Y30" s="98"/>
      <c r="Z30" s="98"/>
    </row>
    <row r="31" spans="1:26" ht="14.25" customHeight="1" x14ac:dyDescent="0.15">
      <c r="A31" s="344" t="e">
        <f>'Tab1'!#REF!</f>
        <v>#REF!</v>
      </c>
      <c r="B31" s="91" t="e">
        <f>IF('Tab1'!#REF!&lt;&gt;"",'Tab1'!#REF!,"")</f>
        <v>#REF!</v>
      </c>
      <c r="C31" s="91" t="e">
        <f>'Tab1'!#REF!</f>
        <v>#REF!</v>
      </c>
      <c r="D31" s="91" t="e">
        <f>'Tab1'!#REF!</f>
        <v>#REF!</v>
      </c>
      <c r="E31" s="91" t="e">
        <f>IF('Tab1'!#REF!&lt;0,"",'Tab1'!#REF!)</f>
        <v>#REF!</v>
      </c>
      <c r="F31" s="6" t="e">
        <f>'Tab1'!#REF!</f>
        <v>#REF!</v>
      </c>
      <c r="G31" s="91" t="e">
        <f>1/'Tab1'!#REF!</f>
        <v>#REF!</v>
      </c>
      <c r="H31" s="91" t="e">
        <f>IF(G31="","",'Tab1'!#REF!)</f>
        <v>#REF!</v>
      </c>
      <c r="I31" s="91" t="e">
        <f>IF(H31="","",'Tab1'!#REF!)</f>
        <v>#REF!</v>
      </c>
      <c r="J31" s="91" t="e">
        <f>IF(I31="","",'Tab1'!#REF!)</f>
        <v>#REF!</v>
      </c>
      <c r="K31" s="91" t="e">
        <f>IF(J31="","",'Tab1'!#REF!)</f>
        <v>#REF!</v>
      </c>
      <c r="L31" s="55"/>
      <c r="M31" s="55"/>
      <c r="N31" s="55"/>
      <c r="O31" s="7"/>
      <c r="P31" s="7"/>
      <c r="Q31" s="7"/>
      <c r="R31" s="7"/>
      <c r="S31" s="7"/>
      <c r="T31" s="7"/>
      <c r="U31" s="7"/>
      <c r="V31" s="5"/>
      <c r="W31" s="98"/>
      <c r="X31" s="98"/>
      <c r="Y31" s="98"/>
      <c r="Z31" s="98"/>
    </row>
    <row r="32" spans="1:26" ht="14.25" customHeight="1" x14ac:dyDescent="0.15">
      <c r="A32" s="344" t="e">
        <f>'Tab1'!#REF!</f>
        <v>#REF!</v>
      </c>
      <c r="B32" s="91" t="e">
        <f>IF('Tab1'!#REF!&lt;&gt;"",'Tab1'!#REF!,"")</f>
        <v>#REF!</v>
      </c>
      <c r="C32" s="91" t="e">
        <f>'Tab1'!#REF!</f>
        <v>#REF!</v>
      </c>
      <c r="D32" s="91" t="e">
        <f>'Tab1'!#REF!</f>
        <v>#REF!</v>
      </c>
      <c r="E32" s="91" t="e">
        <f>IF('Tab1'!#REF!&lt;0,"",'Tab1'!#REF!)</f>
        <v>#REF!</v>
      </c>
      <c r="F32" s="6" t="e">
        <f>'Tab1'!#REF!</f>
        <v>#REF!</v>
      </c>
      <c r="G32" s="91" t="e">
        <f>1/'Tab1'!#REF!</f>
        <v>#REF!</v>
      </c>
      <c r="H32" s="91" t="e">
        <f>IF(G32="","",'Tab1'!#REF!)</f>
        <v>#REF!</v>
      </c>
      <c r="I32" s="91" t="e">
        <f>IF(H32="","",'Tab1'!#REF!)</f>
        <v>#REF!</v>
      </c>
      <c r="J32" s="91" t="e">
        <f>IF(I32="","",'Tab1'!#REF!)</f>
        <v>#REF!</v>
      </c>
      <c r="K32" s="91" t="e">
        <f>IF(J32="","",'Tab1'!#REF!)</f>
        <v>#REF!</v>
      </c>
      <c r="L32" s="55"/>
      <c r="M32" s="55"/>
      <c r="N32" s="55"/>
      <c r="O32" s="7"/>
      <c r="P32" s="7"/>
      <c r="Q32" s="7"/>
      <c r="R32" s="7"/>
      <c r="S32" s="7"/>
      <c r="T32" s="7"/>
      <c r="U32" s="7"/>
      <c r="V32" s="5"/>
      <c r="W32" s="98"/>
      <c r="X32" s="98"/>
      <c r="Y32" s="98"/>
      <c r="Z32" s="98"/>
    </row>
    <row r="33" spans="1:26" ht="14.25" customHeight="1" x14ac:dyDescent="0.15">
      <c r="A33" s="344" t="e">
        <f>'Tab1'!#REF!</f>
        <v>#REF!</v>
      </c>
      <c r="B33" s="91" t="e">
        <f>IF('Tab1'!#REF!&lt;&gt;"",'Tab1'!#REF!,"")</f>
        <v>#REF!</v>
      </c>
      <c r="C33" s="91" t="e">
        <f>'Tab1'!#REF!</f>
        <v>#REF!</v>
      </c>
      <c r="D33" s="91" t="e">
        <f>'Tab1'!#REF!</f>
        <v>#REF!</v>
      </c>
      <c r="E33" s="91" t="e">
        <f>IF('Tab1'!#REF!&lt;0,"",'Tab1'!#REF!)</f>
        <v>#REF!</v>
      </c>
      <c r="F33" s="6" t="e">
        <f>'Tab1'!#REF!</f>
        <v>#REF!</v>
      </c>
      <c r="G33" s="91" t="e">
        <f>1/'Tab1'!#REF!</f>
        <v>#REF!</v>
      </c>
      <c r="H33" s="91" t="e">
        <f>IF(G33="","",'Tab1'!#REF!)</f>
        <v>#REF!</v>
      </c>
      <c r="I33" s="91" t="e">
        <f>IF(H33="","",'Tab1'!#REF!)</f>
        <v>#REF!</v>
      </c>
      <c r="J33" s="91" t="e">
        <f>IF(I33="","",'Tab1'!#REF!)</f>
        <v>#REF!</v>
      </c>
      <c r="K33" s="91" t="e">
        <f>IF(J33="","",'Tab1'!#REF!)</f>
        <v>#REF!</v>
      </c>
      <c r="L33" s="55"/>
      <c r="M33" s="55"/>
      <c r="N33" s="55"/>
      <c r="O33" s="7"/>
      <c r="P33" s="7"/>
      <c r="Q33" s="7"/>
      <c r="R33" s="7"/>
      <c r="S33" s="7"/>
      <c r="T33" s="7"/>
      <c r="U33" s="7"/>
      <c r="V33" s="5"/>
      <c r="W33" s="98"/>
      <c r="X33" s="98"/>
      <c r="Y33" s="98"/>
      <c r="Z33" s="98"/>
    </row>
    <row r="34" spans="1:26" ht="14.25" customHeight="1" x14ac:dyDescent="0.15">
      <c r="A34" s="344" t="e">
        <f>'Tab1'!#REF!</f>
        <v>#REF!</v>
      </c>
      <c r="B34" s="91" t="e">
        <f>IF('Tab1'!#REF!&lt;&gt;"",'Tab1'!#REF!,"")</f>
        <v>#REF!</v>
      </c>
      <c r="C34" s="91" t="e">
        <f>'Tab1'!#REF!</f>
        <v>#REF!</v>
      </c>
      <c r="D34" s="91" t="e">
        <f>'Tab1'!#REF!</f>
        <v>#REF!</v>
      </c>
      <c r="E34" s="91" t="e">
        <f>IF('Tab1'!#REF!&lt;0,"",'Tab1'!#REF!)</f>
        <v>#REF!</v>
      </c>
      <c r="F34" s="6" t="e">
        <f>'Tab1'!#REF!</f>
        <v>#REF!</v>
      </c>
      <c r="G34" s="91" t="e">
        <f>1/'Tab1'!#REF!</f>
        <v>#REF!</v>
      </c>
      <c r="H34" s="91" t="e">
        <f>IF(G34="","",'Tab1'!#REF!)</f>
        <v>#REF!</v>
      </c>
      <c r="I34" s="91" t="e">
        <f>IF(H34="","",'Tab1'!#REF!)</f>
        <v>#REF!</v>
      </c>
      <c r="J34" s="91" t="e">
        <f>IF(I34="","",'Tab1'!#REF!)</f>
        <v>#REF!</v>
      </c>
      <c r="K34" s="91" t="e">
        <f>IF(J34="","",'Tab1'!#REF!)</f>
        <v>#REF!</v>
      </c>
      <c r="L34" s="55"/>
      <c r="M34" s="55"/>
      <c r="N34" s="55"/>
      <c r="O34" s="7"/>
      <c r="P34" s="7"/>
      <c r="Q34" s="7"/>
      <c r="R34" s="7"/>
      <c r="S34" s="7"/>
      <c r="T34" s="7"/>
      <c r="U34" s="7"/>
      <c r="V34" s="5"/>
      <c r="W34" s="98"/>
      <c r="X34" s="98"/>
      <c r="Y34" s="98"/>
      <c r="Z34" s="98"/>
    </row>
    <row r="35" spans="1:26" ht="14.25" customHeight="1" x14ac:dyDescent="0.15">
      <c r="A35" s="344" t="e">
        <f>'Tab1'!#REF!</f>
        <v>#REF!</v>
      </c>
      <c r="B35" s="91" t="e">
        <f>IF('Tab1'!#REF!&lt;&gt;"",'Tab1'!#REF!,"")</f>
        <v>#REF!</v>
      </c>
      <c r="C35" s="91" t="e">
        <f>'Tab1'!#REF!</f>
        <v>#REF!</v>
      </c>
      <c r="D35" s="91" t="e">
        <f>'Tab1'!#REF!</f>
        <v>#REF!</v>
      </c>
      <c r="E35" s="91" t="e">
        <f>IF('Tab1'!#REF!&lt;0,"",'Tab1'!#REF!)</f>
        <v>#REF!</v>
      </c>
      <c r="F35" s="6" t="e">
        <f>'Tab1'!#REF!</f>
        <v>#REF!</v>
      </c>
      <c r="G35" s="91" t="e">
        <f>1/'Tab1'!#REF!</f>
        <v>#REF!</v>
      </c>
      <c r="H35" s="91" t="e">
        <f>IF(G35="","",'Tab1'!#REF!)</f>
        <v>#REF!</v>
      </c>
      <c r="I35" s="91" t="e">
        <f>IF(H35="","",'Tab1'!#REF!)</f>
        <v>#REF!</v>
      </c>
      <c r="J35" s="91" t="e">
        <f>IF(I35="","",'Tab1'!#REF!)</f>
        <v>#REF!</v>
      </c>
      <c r="K35" s="91" t="e">
        <f>IF(J35="","",'Tab1'!#REF!)</f>
        <v>#REF!</v>
      </c>
      <c r="L35" s="55"/>
      <c r="M35" s="55"/>
      <c r="N35" s="55"/>
      <c r="O35" s="7"/>
      <c r="P35" s="7"/>
      <c r="Q35" s="7"/>
      <c r="R35" s="7"/>
      <c r="S35" s="7"/>
      <c r="T35" s="7"/>
      <c r="U35" s="7"/>
      <c r="V35" s="5"/>
      <c r="W35" s="98"/>
      <c r="X35" s="98"/>
      <c r="Y35" s="98"/>
      <c r="Z35" s="98"/>
    </row>
    <row r="36" spans="1:26" ht="14.25" customHeight="1" x14ac:dyDescent="0.15">
      <c r="A36" s="344" t="e">
        <f>'Tab1'!#REF!</f>
        <v>#REF!</v>
      </c>
      <c r="B36" s="91" t="e">
        <f>IF('Tab1'!#REF!&lt;&gt;"",'Tab1'!#REF!,"")</f>
        <v>#REF!</v>
      </c>
      <c r="C36" s="91" t="e">
        <f>'Tab1'!#REF!</f>
        <v>#REF!</v>
      </c>
      <c r="D36" s="91" t="e">
        <f>'Tab1'!#REF!</f>
        <v>#REF!</v>
      </c>
      <c r="E36" s="91" t="e">
        <f>IF('Tab1'!#REF!&lt;0,"",'Tab1'!#REF!)</f>
        <v>#REF!</v>
      </c>
      <c r="F36" s="6" t="e">
        <f>'Tab1'!#REF!</f>
        <v>#REF!</v>
      </c>
      <c r="G36" s="91" t="e">
        <f>1/'Tab1'!#REF!</f>
        <v>#REF!</v>
      </c>
      <c r="H36" s="91" t="e">
        <f>IF(G36="","",'Tab1'!#REF!)</f>
        <v>#REF!</v>
      </c>
      <c r="I36" s="91" t="e">
        <f>IF(H36="","",'Tab1'!#REF!)</f>
        <v>#REF!</v>
      </c>
      <c r="J36" s="91" t="e">
        <f>IF(I36="","",'Tab1'!#REF!)</f>
        <v>#REF!</v>
      </c>
      <c r="K36" s="91" t="e">
        <f>IF(J36="","",'Tab1'!#REF!)</f>
        <v>#REF!</v>
      </c>
      <c r="L36" s="55"/>
      <c r="M36" s="55"/>
      <c r="N36" s="55"/>
      <c r="O36" s="7"/>
      <c r="P36" s="7"/>
      <c r="Q36" s="7"/>
      <c r="R36" s="7"/>
      <c r="S36" s="7"/>
      <c r="T36" s="7"/>
      <c r="U36" s="7"/>
      <c r="V36" s="5"/>
      <c r="W36" s="98"/>
      <c r="X36" s="98"/>
      <c r="Y36" s="98"/>
      <c r="Z36" s="98"/>
    </row>
    <row r="37" spans="1:26" ht="14.25" customHeight="1" x14ac:dyDescent="0.15">
      <c r="A37" s="344" t="e">
        <f>'Tab1'!#REF!</f>
        <v>#REF!</v>
      </c>
      <c r="B37" s="91" t="e">
        <f>IF('Tab1'!#REF!&lt;&gt;"",'Tab1'!#REF!,"")</f>
        <v>#REF!</v>
      </c>
      <c r="C37" s="91" t="e">
        <f>'Tab1'!#REF!</f>
        <v>#REF!</v>
      </c>
      <c r="D37" s="91" t="e">
        <f>'Tab1'!#REF!</f>
        <v>#REF!</v>
      </c>
      <c r="E37" s="91" t="e">
        <f>IF('Tab1'!#REF!&lt;0,"",'Tab1'!#REF!)</f>
        <v>#REF!</v>
      </c>
      <c r="F37" s="6" t="e">
        <f>'Tab1'!#REF!</f>
        <v>#REF!</v>
      </c>
      <c r="G37" s="91" t="e">
        <f>1/'Tab1'!#REF!</f>
        <v>#REF!</v>
      </c>
      <c r="H37" s="91" t="e">
        <f>IF(G37="","",'Tab1'!#REF!)</f>
        <v>#REF!</v>
      </c>
      <c r="I37" s="91" t="e">
        <f>IF(H37="","",'Tab1'!#REF!)</f>
        <v>#REF!</v>
      </c>
      <c r="J37" s="91" t="e">
        <f>IF(I37="","",'Tab1'!#REF!)</f>
        <v>#REF!</v>
      </c>
      <c r="K37" s="91" t="e">
        <f>IF(J37="","",'Tab1'!#REF!)</f>
        <v>#REF!</v>
      </c>
      <c r="L37" s="55"/>
      <c r="M37" s="55"/>
      <c r="N37" s="55"/>
      <c r="O37" s="7"/>
      <c r="P37" s="7"/>
      <c r="Q37" s="7"/>
      <c r="R37" s="7"/>
      <c r="S37" s="7"/>
      <c r="T37" s="7"/>
      <c r="U37" s="7"/>
      <c r="V37" s="5"/>
      <c r="W37" s="98"/>
      <c r="X37" s="98"/>
      <c r="Y37" s="98"/>
      <c r="Z37" s="98"/>
    </row>
    <row r="38" spans="1:26" ht="14.25" customHeight="1" x14ac:dyDescent="0.15">
      <c r="A38" s="344" t="e">
        <f>'Tab1'!#REF!</f>
        <v>#REF!</v>
      </c>
      <c r="B38" s="91" t="e">
        <f>IF('Tab1'!#REF!&lt;&gt;"",'Tab1'!#REF!,"")</f>
        <v>#REF!</v>
      </c>
      <c r="C38" s="91" t="e">
        <f>'Tab1'!#REF!</f>
        <v>#REF!</v>
      </c>
      <c r="D38" s="91" t="e">
        <f>'Tab1'!#REF!</f>
        <v>#REF!</v>
      </c>
      <c r="E38" s="91" t="e">
        <f>IF('Tab1'!#REF!&lt;0,"",'Tab1'!#REF!)</f>
        <v>#REF!</v>
      </c>
      <c r="F38" s="6" t="e">
        <f>'Tab1'!#REF!</f>
        <v>#REF!</v>
      </c>
      <c r="G38" s="91" t="e">
        <f>1/'Tab1'!#REF!</f>
        <v>#REF!</v>
      </c>
      <c r="H38" s="91" t="e">
        <f>IF(G38="","",'Tab1'!#REF!)</f>
        <v>#REF!</v>
      </c>
      <c r="I38" s="91" t="e">
        <f>IF(H38="","",'Tab1'!#REF!)</f>
        <v>#REF!</v>
      </c>
      <c r="J38" s="91" t="e">
        <f>IF(I38="","",'Tab1'!#REF!)</f>
        <v>#REF!</v>
      </c>
      <c r="K38" s="91" t="e">
        <f>IF(J38="","",'Tab1'!#REF!)</f>
        <v>#REF!</v>
      </c>
      <c r="L38" s="55"/>
      <c r="M38" s="55"/>
      <c r="N38" s="55"/>
      <c r="O38" s="7"/>
      <c r="P38" s="7"/>
      <c r="Q38" s="7"/>
      <c r="R38" s="7"/>
      <c r="S38" s="7"/>
      <c r="T38" s="7"/>
      <c r="U38" s="7"/>
      <c r="V38" s="5"/>
      <c r="W38" s="98"/>
      <c r="X38" s="98"/>
      <c r="Y38" s="98"/>
      <c r="Z38" s="98"/>
    </row>
    <row r="39" spans="1:26" ht="14.25" customHeight="1" x14ac:dyDescent="0.15">
      <c r="A39" s="344" t="e">
        <f>'Tab1'!#REF!</f>
        <v>#REF!</v>
      </c>
      <c r="B39" s="91" t="e">
        <f>IF('Tab1'!#REF!&lt;&gt;"",'Tab1'!#REF!,"")</f>
        <v>#REF!</v>
      </c>
      <c r="C39" s="91" t="e">
        <f>'Tab1'!#REF!</f>
        <v>#REF!</v>
      </c>
      <c r="D39" s="91" t="e">
        <f>'Tab1'!#REF!</f>
        <v>#REF!</v>
      </c>
      <c r="E39" s="91" t="e">
        <f>IF('Tab1'!#REF!&lt;0,"",'Tab1'!#REF!)</f>
        <v>#REF!</v>
      </c>
      <c r="F39" s="6" t="e">
        <f>'Tab1'!#REF!</f>
        <v>#REF!</v>
      </c>
      <c r="G39" s="91" t="e">
        <f>1/'Tab1'!#REF!</f>
        <v>#REF!</v>
      </c>
      <c r="H39" s="91" t="e">
        <f>IF(G39="","",'Tab1'!#REF!)</f>
        <v>#REF!</v>
      </c>
      <c r="I39" s="91" t="e">
        <f>IF(H39="","",'Tab1'!#REF!)</f>
        <v>#REF!</v>
      </c>
      <c r="J39" s="91" t="e">
        <f>IF(I39="","",'Tab1'!#REF!)</f>
        <v>#REF!</v>
      </c>
      <c r="K39" s="91" t="e">
        <f>IF(J39="","",'Tab1'!#REF!)</f>
        <v>#REF!</v>
      </c>
      <c r="L39" s="55"/>
      <c r="M39" s="55"/>
      <c r="N39" s="55"/>
      <c r="O39" s="7"/>
      <c r="P39" s="7"/>
      <c r="Q39" s="7"/>
      <c r="R39" s="7"/>
      <c r="S39" s="7"/>
      <c r="T39" s="7"/>
      <c r="U39" s="7"/>
      <c r="V39" s="5"/>
      <c r="W39" s="98"/>
      <c r="X39" s="98"/>
      <c r="Y39" s="98"/>
      <c r="Z39" s="98"/>
    </row>
    <row r="40" spans="1:26" ht="14.25" customHeight="1" x14ac:dyDescent="0.15">
      <c r="A40" s="344" t="e">
        <f>'Tab1'!#REF!</f>
        <v>#REF!</v>
      </c>
      <c r="B40" s="91" t="e">
        <f>IF('Tab1'!#REF!&lt;&gt;"",'Tab1'!#REF!,"")</f>
        <v>#REF!</v>
      </c>
      <c r="C40" s="91" t="e">
        <f>'Tab1'!#REF!</f>
        <v>#REF!</v>
      </c>
      <c r="D40" s="91" t="e">
        <f>'Tab1'!#REF!</f>
        <v>#REF!</v>
      </c>
      <c r="E40" s="91" t="e">
        <f>IF('Tab1'!#REF!&lt;0,"",'Tab1'!#REF!)</f>
        <v>#REF!</v>
      </c>
      <c r="F40" s="6" t="e">
        <f>'Tab1'!#REF!</f>
        <v>#REF!</v>
      </c>
      <c r="G40" s="91" t="e">
        <f>1/'Tab1'!#REF!</f>
        <v>#REF!</v>
      </c>
      <c r="H40" s="91" t="e">
        <f>IF(G40="","",'Tab1'!#REF!)</f>
        <v>#REF!</v>
      </c>
      <c r="I40" s="91" t="e">
        <f>IF(H40="","",'Tab1'!#REF!)</f>
        <v>#REF!</v>
      </c>
      <c r="J40" s="91" t="e">
        <f>IF(I40="","",'Tab1'!#REF!)</f>
        <v>#REF!</v>
      </c>
      <c r="K40" s="91" t="e">
        <f>IF(J40="","",'Tab1'!#REF!)</f>
        <v>#REF!</v>
      </c>
      <c r="L40" s="55"/>
      <c r="M40" s="55"/>
      <c r="N40" s="55"/>
      <c r="O40" s="7"/>
      <c r="P40" s="7"/>
      <c r="Q40" s="7"/>
      <c r="R40" s="7"/>
      <c r="S40" s="7"/>
      <c r="T40" s="7"/>
      <c r="U40" s="7"/>
      <c r="V40" s="5"/>
      <c r="W40" s="98"/>
      <c r="X40" s="98"/>
      <c r="Y40" s="98"/>
      <c r="Z40" s="98"/>
    </row>
    <row r="41" spans="1:26" ht="14.25" customHeight="1" x14ac:dyDescent="0.15">
      <c r="A41" s="344" t="e">
        <f>'Tab1'!#REF!</f>
        <v>#REF!</v>
      </c>
      <c r="B41" s="91" t="e">
        <f>IF('Tab1'!#REF!&lt;&gt;"",'Tab1'!#REF!,"")</f>
        <v>#REF!</v>
      </c>
      <c r="C41" s="91" t="e">
        <f>'Tab1'!#REF!</f>
        <v>#REF!</v>
      </c>
      <c r="D41" s="91" t="e">
        <f>'Tab1'!#REF!</f>
        <v>#REF!</v>
      </c>
      <c r="E41" s="91" t="e">
        <f>IF('Tab1'!#REF!&lt;0,"",'Tab1'!#REF!)</f>
        <v>#REF!</v>
      </c>
      <c r="F41" s="6" t="e">
        <f>'Tab1'!#REF!</f>
        <v>#REF!</v>
      </c>
      <c r="G41" s="91" t="e">
        <f>1/'Tab1'!#REF!</f>
        <v>#REF!</v>
      </c>
      <c r="H41" s="91" t="e">
        <f>IF(G41="","",'Tab1'!#REF!)</f>
        <v>#REF!</v>
      </c>
      <c r="I41" s="91" t="e">
        <f>IF(H41="","",'Tab1'!#REF!)</f>
        <v>#REF!</v>
      </c>
      <c r="J41" s="91" t="e">
        <f>IF(I41="","",'Tab1'!#REF!)</f>
        <v>#REF!</v>
      </c>
      <c r="K41" s="91" t="e">
        <f>IF(J41="","",'Tab1'!#REF!)</f>
        <v>#REF!</v>
      </c>
      <c r="L41" s="55"/>
      <c r="M41" s="55"/>
      <c r="N41" s="55"/>
      <c r="O41" s="7"/>
      <c r="P41" s="7"/>
      <c r="Q41" s="7"/>
      <c r="R41" s="7"/>
      <c r="S41" s="7"/>
      <c r="T41" s="7"/>
      <c r="U41" s="7"/>
      <c r="V41" s="5"/>
      <c r="W41" s="98"/>
      <c r="X41" s="98"/>
      <c r="Y41" s="98"/>
      <c r="Z41" s="98"/>
    </row>
    <row r="42" spans="1:26" ht="14.25" customHeight="1" x14ac:dyDescent="0.15">
      <c r="A42" s="344" t="e">
        <f>'Tab1'!#REF!</f>
        <v>#REF!</v>
      </c>
      <c r="B42" s="91" t="e">
        <f>IF('Tab1'!#REF!&lt;&gt;"",'Tab1'!#REF!,"")</f>
        <v>#REF!</v>
      </c>
      <c r="C42" s="91" t="e">
        <f>'Tab1'!#REF!</f>
        <v>#REF!</v>
      </c>
      <c r="D42" s="91" t="e">
        <f>'Tab1'!#REF!</f>
        <v>#REF!</v>
      </c>
      <c r="E42" s="91" t="e">
        <f>IF('Tab1'!#REF!&lt;0,"",'Tab1'!#REF!)</f>
        <v>#REF!</v>
      </c>
      <c r="F42" s="6" t="e">
        <f>'Tab1'!#REF!</f>
        <v>#REF!</v>
      </c>
      <c r="G42" s="91" t="e">
        <f>1/'Tab1'!#REF!</f>
        <v>#REF!</v>
      </c>
      <c r="H42" s="91" t="e">
        <f>IF(G42="","",'Tab1'!#REF!)</f>
        <v>#REF!</v>
      </c>
      <c r="I42" s="91" t="e">
        <f>IF(H42="","",'Tab1'!#REF!)</f>
        <v>#REF!</v>
      </c>
      <c r="J42" s="91" t="e">
        <f>IF(I42="","",'Tab1'!#REF!)</f>
        <v>#REF!</v>
      </c>
      <c r="K42" s="91" t="e">
        <f>IF(J42="","",'Tab1'!#REF!)</f>
        <v>#REF!</v>
      </c>
      <c r="L42" s="55"/>
      <c r="M42" s="55"/>
      <c r="N42" s="55"/>
      <c r="O42" s="7"/>
      <c r="P42" s="7"/>
      <c r="Q42" s="7"/>
      <c r="R42" s="7"/>
      <c r="S42" s="7"/>
      <c r="T42" s="7"/>
      <c r="U42" s="7"/>
      <c r="V42" s="5"/>
      <c r="W42" s="98"/>
      <c r="X42" s="98"/>
      <c r="Y42" s="98"/>
      <c r="Z42" s="98"/>
    </row>
    <row r="43" spans="1:26" ht="14.25" customHeight="1" x14ac:dyDescent="0.15">
      <c r="A43" s="344" t="e">
        <f>'Tab1'!#REF!</f>
        <v>#REF!</v>
      </c>
      <c r="B43" s="91" t="e">
        <f>IF('Tab1'!#REF!&lt;&gt;"",'Tab1'!#REF!,"")</f>
        <v>#REF!</v>
      </c>
      <c r="C43" s="91" t="e">
        <f>'Tab1'!#REF!</f>
        <v>#REF!</v>
      </c>
      <c r="D43" s="91" t="e">
        <f>'Tab1'!#REF!</f>
        <v>#REF!</v>
      </c>
      <c r="E43" s="91" t="e">
        <f>IF('Tab1'!#REF!&lt;0,"",'Tab1'!#REF!)</f>
        <v>#REF!</v>
      </c>
      <c r="F43" s="6" t="e">
        <f>'Tab1'!#REF!</f>
        <v>#REF!</v>
      </c>
      <c r="G43" s="91" t="e">
        <f>1/'Tab1'!#REF!</f>
        <v>#REF!</v>
      </c>
      <c r="H43" s="91" t="e">
        <f>IF(G43="","",'Tab1'!#REF!)</f>
        <v>#REF!</v>
      </c>
      <c r="I43" s="91" t="e">
        <f>IF(H43="","",'Tab1'!#REF!)</f>
        <v>#REF!</v>
      </c>
      <c r="J43" s="91" t="e">
        <f>IF(I43="","",'Tab1'!#REF!)</f>
        <v>#REF!</v>
      </c>
      <c r="K43" s="91" t="e">
        <f>IF(J43="","",'Tab1'!#REF!)</f>
        <v>#REF!</v>
      </c>
      <c r="L43" s="55"/>
      <c r="M43" s="55"/>
      <c r="N43" s="55"/>
      <c r="O43" s="7"/>
      <c r="P43" s="7"/>
      <c r="Q43" s="7"/>
      <c r="R43" s="7"/>
      <c r="S43" s="7"/>
      <c r="T43" s="7"/>
      <c r="U43" s="7"/>
      <c r="V43" s="5"/>
      <c r="W43" s="98"/>
      <c r="X43" s="98"/>
      <c r="Y43" s="98"/>
      <c r="Z43" s="98"/>
    </row>
    <row r="44" spans="1:26" ht="14.25" customHeight="1" x14ac:dyDescent="0.15">
      <c r="A44" s="344" t="e">
        <f>'Tab1'!#REF!</f>
        <v>#REF!</v>
      </c>
      <c r="B44" s="91" t="e">
        <f>IF('Tab1'!#REF!&lt;&gt;"",'Tab1'!#REF!,"")</f>
        <v>#REF!</v>
      </c>
      <c r="C44" s="91" t="e">
        <f>'Tab1'!#REF!</f>
        <v>#REF!</v>
      </c>
      <c r="D44" s="91" t="e">
        <f>'Tab1'!#REF!</f>
        <v>#REF!</v>
      </c>
      <c r="E44" s="91" t="e">
        <f>IF('Tab1'!#REF!&lt;0,"",'Tab1'!#REF!)</f>
        <v>#REF!</v>
      </c>
      <c r="F44" s="6" t="e">
        <f>'Tab1'!#REF!</f>
        <v>#REF!</v>
      </c>
      <c r="G44" s="91" t="e">
        <f>1/'Tab1'!#REF!</f>
        <v>#REF!</v>
      </c>
      <c r="H44" s="91" t="e">
        <f>IF(G44="","",'Tab1'!#REF!)</f>
        <v>#REF!</v>
      </c>
      <c r="I44" s="91" t="e">
        <f>IF(H44="","",'Tab1'!#REF!)</f>
        <v>#REF!</v>
      </c>
      <c r="J44" s="91" t="e">
        <f>IF(I44="","",'Tab1'!#REF!)</f>
        <v>#REF!</v>
      </c>
      <c r="K44" s="91" t="e">
        <f>IF(J44="","",'Tab1'!#REF!)</f>
        <v>#REF!</v>
      </c>
      <c r="L44" s="55"/>
      <c r="M44" s="55"/>
      <c r="N44" s="55"/>
      <c r="O44" s="7"/>
      <c r="P44" s="7"/>
      <c r="Q44" s="7"/>
      <c r="R44" s="7"/>
      <c r="S44" s="7"/>
      <c r="T44" s="7"/>
      <c r="U44" s="7"/>
      <c r="V44" s="5"/>
      <c r="W44" s="98"/>
      <c r="X44" s="98"/>
      <c r="Y44" s="98"/>
      <c r="Z44" s="98"/>
    </row>
    <row r="45" spans="1:26" ht="14.25" customHeight="1" x14ac:dyDescent="0.15">
      <c r="A45" s="344" t="e">
        <f>'Tab1'!#REF!</f>
        <v>#REF!</v>
      </c>
      <c r="B45" s="91" t="e">
        <f>IF('Tab1'!#REF!&lt;&gt;"",'Tab1'!#REF!,"")</f>
        <v>#REF!</v>
      </c>
      <c r="C45" s="91" t="e">
        <f>'Tab1'!#REF!</f>
        <v>#REF!</v>
      </c>
      <c r="D45" s="91" t="e">
        <f>'Tab1'!#REF!</f>
        <v>#REF!</v>
      </c>
      <c r="E45" s="91" t="e">
        <f>IF('Tab1'!#REF!&lt;0,"",'Tab1'!#REF!)</f>
        <v>#REF!</v>
      </c>
      <c r="F45" s="6" t="e">
        <f>'Tab1'!#REF!</f>
        <v>#REF!</v>
      </c>
      <c r="G45" s="91" t="e">
        <f>1/'Tab1'!#REF!</f>
        <v>#REF!</v>
      </c>
      <c r="H45" s="91" t="e">
        <f>IF(G45="","",'Tab1'!#REF!)</f>
        <v>#REF!</v>
      </c>
      <c r="I45" s="91" t="e">
        <f>IF(H45="","",'Tab1'!#REF!)</f>
        <v>#REF!</v>
      </c>
      <c r="J45" s="91" t="e">
        <f>IF(I45="","",'Tab1'!#REF!)</f>
        <v>#REF!</v>
      </c>
      <c r="K45" s="91" t="e">
        <f>IF(J45="","",'Tab1'!#REF!)</f>
        <v>#REF!</v>
      </c>
      <c r="L45" s="55"/>
      <c r="M45" s="55"/>
      <c r="N45" s="55"/>
      <c r="O45" s="7"/>
      <c r="P45" s="7"/>
      <c r="Q45" s="7"/>
      <c r="R45" s="7"/>
      <c r="S45" s="7"/>
      <c r="T45" s="7"/>
      <c r="U45" s="7"/>
      <c r="V45" s="5"/>
      <c r="W45" s="98"/>
      <c r="X45" s="98"/>
      <c r="Y45" s="98"/>
      <c r="Z45" s="98"/>
    </row>
    <row r="46" spans="1:26" ht="14.25" customHeight="1" x14ac:dyDescent="0.15">
      <c r="A46" s="344" t="e">
        <f>'Tab1'!#REF!</f>
        <v>#REF!</v>
      </c>
      <c r="B46" s="91" t="e">
        <f>IF('Tab1'!#REF!&lt;&gt;"",'Tab1'!#REF!,"")</f>
        <v>#REF!</v>
      </c>
      <c r="C46" s="91" t="e">
        <f>'Tab1'!#REF!</f>
        <v>#REF!</v>
      </c>
      <c r="D46" s="91" t="e">
        <f>'Tab1'!#REF!</f>
        <v>#REF!</v>
      </c>
      <c r="E46" s="91" t="e">
        <f>IF('Tab1'!#REF!&lt;0,"",'Tab1'!#REF!)</f>
        <v>#REF!</v>
      </c>
      <c r="F46" s="6" t="e">
        <f>'Tab1'!#REF!</f>
        <v>#REF!</v>
      </c>
      <c r="G46" s="91" t="e">
        <f>1/'Tab1'!#REF!</f>
        <v>#REF!</v>
      </c>
      <c r="H46" s="91" t="e">
        <f>IF(G46="","",'Tab1'!#REF!)</f>
        <v>#REF!</v>
      </c>
      <c r="I46" s="91" t="e">
        <f>IF(H46="","",'Tab1'!#REF!)</f>
        <v>#REF!</v>
      </c>
      <c r="J46" s="91" t="e">
        <f>IF(I46="","",'Tab1'!#REF!)</f>
        <v>#REF!</v>
      </c>
      <c r="K46" s="91" t="e">
        <f>IF(J46="","",'Tab1'!#REF!)</f>
        <v>#REF!</v>
      </c>
      <c r="L46" s="55"/>
      <c r="M46" s="55"/>
      <c r="N46" s="55"/>
      <c r="O46" s="7"/>
      <c r="P46" s="7"/>
      <c r="Q46" s="7"/>
      <c r="R46" s="7"/>
      <c r="S46" s="7"/>
      <c r="T46" s="7"/>
      <c r="U46" s="7"/>
      <c r="V46" s="5"/>
      <c r="W46" s="98"/>
      <c r="X46" s="98"/>
      <c r="Y46" s="98"/>
      <c r="Z46" s="98"/>
    </row>
    <row r="47" spans="1:26" ht="14.25" customHeight="1" x14ac:dyDescent="0.15">
      <c r="A47" s="344" t="e">
        <f>'Tab1'!#REF!</f>
        <v>#REF!</v>
      </c>
      <c r="B47" s="91" t="e">
        <f>IF('Tab1'!#REF!&lt;&gt;"",'Tab1'!#REF!,"")</f>
        <v>#REF!</v>
      </c>
      <c r="C47" s="91" t="e">
        <f>'Tab1'!#REF!</f>
        <v>#REF!</v>
      </c>
      <c r="D47" s="91" t="e">
        <f>'Tab1'!#REF!</f>
        <v>#REF!</v>
      </c>
      <c r="E47" s="91" t="e">
        <f>IF('Tab1'!#REF!&lt;0,"",'Tab1'!#REF!)</f>
        <v>#REF!</v>
      </c>
      <c r="F47" s="6" t="e">
        <f>'Tab1'!#REF!</f>
        <v>#REF!</v>
      </c>
      <c r="G47" s="91" t="e">
        <f>1/'Tab1'!#REF!</f>
        <v>#REF!</v>
      </c>
      <c r="H47" s="91" t="e">
        <f>IF(G47="","",'Tab1'!#REF!)</f>
        <v>#REF!</v>
      </c>
      <c r="I47" s="91" t="e">
        <f>IF(H47="","",'Tab1'!#REF!)</f>
        <v>#REF!</v>
      </c>
      <c r="J47" s="91" t="e">
        <f>IF(I47="","",'Tab1'!#REF!)</f>
        <v>#REF!</v>
      </c>
      <c r="K47" s="91" t="e">
        <f>IF(J47="","",'Tab1'!#REF!)</f>
        <v>#REF!</v>
      </c>
      <c r="L47" s="55"/>
      <c r="M47" s="55"/>
      <c r="N47" s="55"/>
      <c r="O47" s="7"/>
      <c r="P47" s="7"/>
      <c r="Q47" s="7"/>
      <c r="R47" s="7"/>
      <c r="S47" s="7"/>
      <c r="T47" s="7"/>
      <c r="U47" s="7"/>
      <c r="V47" s="5"/>
      <c r="W47" s="98"/>
      <c r="X47" s="98"/>
      <c r="Y47" s="98"/>
      <c r="Z47" s="98"/>
    </row>
    <row r="48" spans="1:26" ht="14.25" customHeight="1" x14ac:dyDescent="0.15">
      <c r="A48" s="344" t="e">
        <f>'Tab1'!#REF!</f>
        <v>#REF!</v>
      </c>
      <c r="B48" s="91" t="e">
        <f>IF('Tab1'!#REF!&lt;&gt;"",'Tab1'!#REF!,"")</f>
        <v>#REF!</v>
      </c>
      <c r="C48" s="91" t="e">
        <f>'Tab1'!#REF!</f>
        <v>#REF!</v>
      </c>
      <c r="D48" s="91" t="e">
        <f>'Tab1'!#REF!</f>
        <v>#REF!</v>
      </c>
      <c r="E48" s="91" t="e">
        <f>IF('Tab1'!#REF!&lt;0,"",'Tab1'!#REF!)</f>
        <v>#REF!</v>
      </c>
      <c r="F48" s="6" t="e">
        <f>'Tab1'!#REF!</f>
        <v>#REF!</v>
      </c>
      <c r="G48" s="91" t="e">
        <f>1/'Tab1'!#REF!</f>
        <v>#REF!</v>
      </c>
      <c r="H48" s="91" t="e">
        <f>IF(G48="","",'Tab1'!#REF!)</f>
        <v>#REF!</v>
      </c>
      <c r="I48" s="91" t="e">
        <f>IF(H48="","",'Tab1'!#REF!)</f>
        <v>#REF!</v>
      </c>
      <c r="J48" s="91" t="e">
        <f>IF(I48="","",'Tab1'!#REF!)</f>
        <v>#REF!</v>
      </c>
      <c r="K48" s="91" t="e">
        <f>IF(J48="","",'Tab1'!#REF!)</f>
        <v>#REF!</v>
      </c>
      <c r="L48" s="55"/>
      <c r="M48" s="55"/>
      <c r="N48" s="55"/>
      <c r="O48" s="7"/>
      <c r="P48" s="7"/>
      <c r="Q48" s="7"/>
      <c r="R48" s="7"/>
      <c r="S48" s="7"/>
      <c r="T48" s="7"/>
      <c r="U48" s="7"/>
      <c r="V48" s="5"/>
      <c r="W48" s="98"/>
      <c r="X48" s="98"/>
      <c r="Y48" s="98"/>
      <c r="Z48" s="98"/>
    </row>
    <row r="49" spans="1:26" ht="14.25" customHeight="1" x14ac:dyDescent="0.15">
      <c r="A49" s="344" t="e">
        <f>'Tab1'!#REF!</f>
        <v>#REF!</v>
      </c>
      <c r="B49" s="91" t="e">
        <f>IF('Tab1'!#REF!&lt;&gt;"",'Tab1'!#REF!,"")</f>
        <v>#REF!</v>
      </c>
      <c r="C49" s="91" t="e">
        <f>'Tab1'!#REF!</f>
        <v>#REF!</v>
      </c>
      <c r="D49" s="91" t="e">
        <f>'Tab1'!#REF!</f>
        <v>#REF!</v>
      </c>
      <c r="E49" s="91" t="e">
        <f>IF('Tab1'!#REF!&lt;0,"",'Tab1'!#REF!)</f>
        <v>#REF!</v>
      </c>
      <c r="F49" s="6" t="e">
        <f>'Tab1'!#REF!</f>
        <v>#REF!</v>
      </c>
      <c r="G49" s="91" t="e">
        <f>1/'Tab1'!#REF!</f>
        <v>#REF!</v>
      </c>
      <c r="H49" s="91" t="e">
        <f>IF(G49="","",'Tab1'!#REF!)</f>
        <v>#REF!</v>
      </c>
      <c r="I49" s="91" t="e">
        <f>IF(H49="","",'Tab1'!#REF!)</f>
        <v>#REF!</v>
      </c>
      <c r="J49" s="91" t="e">
        <f>IF(I49="","",'Tab1'!#REF!)</f>
        <v>#REF!</v>
      </c>
      <c r="K49" s="91" t="e">
        <f>IF(J49="","",'Tab1'!#REF!)</f>
        <v>#REF!</v>
      </c>
      <c r="L49" s="55"/>
      <c r="M49" s="55"/>
      <c r="N49" s="55"/>
      <c r="O49" s="7"/>
      <c r="P49" s="7"/>
      <c r="Q49" s="7"/>
      <c r="R49" s="7"/>
      <c r="S49" s="7"/>
      <c r="T49" s="7"/>
      <c r="U49" s="7"/>
      <c r="V49" s="5"/>
      <c r="W49" s="98"/>
      <c r="X49" s="98"/>
      <c r="Y49" s="98"/>
      <c r="Z49" s="98"/>
    </row>
    <row r="50" spans="1:26" ht="14.25" customHeight="1" x14ac:dyDescent="0.15">
      <c r="A50" s="344" t="e">
        <f>'Tab1'!#REF!</f>
        <v>#REF!</v>
      </c>
      <c r="B50" s="91" t="e">
        <f>IF('Tab1'!#REF!&lt;&gt;"",'Tab1'!#REF!,"")</f>
        <v>#REF!</v>
      </c>
      <c r="C50" s="91" t="e">
        <f>'Tab1'!#REF!</f>
        <v>#REF!</v>
      </c>
      <c r="D50" s="91" t="e">
        <f>'Tab1'!#REF!</f>
        <v>#REF!</v>
      </c>
      <c r="E50" s="91" t="e">
        <f>IF('Tab1'!#REF!&lt;0,"",'Tab1'!#REF!)</f>
        <v>#REF!</v>
      </c>
      <c r="F50" s="6" t="e">
        <f>'Tab1'!#REF!</f>
        <v>#REF!</v>
      </c>
      <c r="G50" s="91" t="e">
        <f>1/'Tab1'!#REF!</f>
        <v>#REF!</v>
      </c>
      <c r="H50" s="91" t="e">
        <f>IF(G50="","",'Tab1'!#REF!)</f>
        <v>#REF!</v>
      </c>
      <c r="I50" s="91" t="e">
        <f>IF(H50="","",'Tab1'!#REF!)</f>
        <v>#REF!</v>
      </c>
      <c r="J50" s="91" t="e">
        <f>IF(I50="","",'Tab1'!#REF!)</f>
        <v>#REF!</v>
      </c>
      <c r="K50" s="91" t="e">
        <f>IF(J50="","",'Tab1'!#REF!)</f>
        <v>#REF!</v>
      </c>
      <c r="L50" s="55"/>
      <c r="M50" s="55"/>
      <c r="N50" s="55"/>
      <c r="O50" s="7"/>
      <c r="P50" s="7"/>
      <c r="Q50" s="7"/>
      <c r="R50" s="7"/>
      <c r="S50" s="7"/>
      <c r="T50" s="7"/>
      <c r="U50" s="7"/>
      <c r="V50" s="5"/>
      <c r="W50" s="98"/>
      <c r="X50" s="98"/>
      <c r="Y50" s="98"/>
      <c r="Z50" s="98"/>
    </row>
    <row r="51" spans="1:26" ht="14.25" customHeight="1" x14ac:dyDescent="0.15">
      <c r="A51" s="344" t="e">
        <f>'Tab1'!#REF!</f>
        <v>#REF!</v>
      </c>
      <c r="B51" s="91" t="e">
        <f>IF('Tab1'!#REF!&lt;&gt;"",'Tab1'!#REF!,"")</f>
        <v>#REF!</v>
      </c>
      <c r="C51" s="91" t="e">
        <f>'Tab1'!#REF!</f>
        <v>#REF!</v>
      </c>
      <c r="D51" s="91" t="e">
        <f>'Tab1'!#REF!</f>
        <v>#REF!</v>
      </c>
      <c r="E51" s="91" t="e">
        <f>IF('Tab1'!#REF!&lt;0,"",'Tab1'!#REF!)</f>
        <v>#REF!</v>
      </c>
      <c r="F51" s="6" t="e">
        <f>'Tab1'!#REF!</f>
        <v>#REF!</v>
      </c>
      <c r="G51" s="91" t="e">
        <f>1/'Tab1'!#REF!</f>
        <v>#REF!</v>
      </c>
      <c r="H51" s="91" t="e">
        <f>IF(G51="","",'Tab1'!#REF!)</f>
        <v>#REF!</v>
      </c>
      <c r="I51" s="91" t="e">
        <f>IF(H51="","",'Tab1'!#REF!)</f>
        <v>#REF!</v>
      </c>
      <c r="J51" s="91" t="e">
        <f>IF(I51="","",'Tab1'!#REF!)</f>
        <v>#REF!</v>
      </c>
      <c r="K51" s="91" t="e">
        <f>IF(J51="","",'Tab1'!#REF!)</f>
        <v>#REF!</v>
      </c>
      <c r="L51" s="55"/>
      <c r="M51" s="55"/>
      <c r="N51" s="55"/>
      <c r="O51" s="7"/>
      <c r="P51" s="7"/>
      <c r="Q51" s="7"/>
      <c r="R51" s="7"/>
      <c r="S51" s="7"/>
      <c r="T51" s="7"/>
      <c r="U51" s="7"/>
      <c r="V51" s="5"/>
      <c r="W51" s="98"/>
      <c r="X51" s="98"/>
      <c r="Y51" s="98"/>
      <c r="Z51" s="98"/>
    </row>
    <row r="52" spans="1:26" ht="14.25" customHeight="1" x14ac:dyDescent="0.15">
      <c r="A52" s="344" t="e">
        <f>'Tab1'!#REF!</f>
        <v>#REF!</v>
      </c>
      <c r="B52" s="91" t="e">
        <f>IF('Tab1'!#REF!&lt;&gt;"",'Tab1'!#REF!,"")</f>
        <v>#REF!</v>
      </c>
      <c r="C52" s="91" t="e">
        <f>'Tab1'!#REF!</f>
        <v>#REF!</v>
      </c>
      <c r="D52" s="91" t="e">
        <f>'Tab1'!#REF!</f>
        <v>#REF!</v>
      </c>
      <c r="E52" s="91" t="e">
        <f>IF('Tab1'!#REF!&lt;0,"",'Tab1'!#REF!)</f>
        <v>#REF!</v>
      </c>
      <c r="F52" s="6" t="e">
        <f>'Tab1'!#REF!</f>
        <v>#REF!</v>
      </c>
      <c r="G52" s="91" t="e">
        <f>1/'Tab1'!#REF!</f>
        <v>#REF!</v>
      </c>
      <c r="H52" s="91" t="e">
        <f>IF(G52="","",'Tab1'!#REF!)</f>
        <v>#REF!</v>
      </c>
      <c r="I52" s="91" t="e">
        <f>IF(H52="","",'Tab1'!#REF!)</f>
        <v>#REF!</v>
      </c>
      <c r="J52" s="91" t="e">
        <f>IF(I52="","",'Tab1'!#REF!)</f>
        <v>#REF!</v>
      </c>
      <c r="K52" s="91" t="e">
        <f>IF(J52="","",'Tab1'!#REF!)</f>
        <v>#REF!</v>
      </c>
      <c r="L52" s="55"/>
      <c r="M52" s="55"/>
      <c r="N52" s="55"/>
      <c r="O52" s="7"/>
      <c r="P52" s="7"/>
      <c r="Q52" s="7"/>
      <c r="R52" s="7"/>
      <c r="S52" s="7"/>
      <c r="T52" s="7"/>
      <c r="U52" s="7"/>
      <c r="V52" s="5"/>
      <c r="W52" s="98"/>
      <c r="X52" s="98"/>
      <c r="Y52" s="98"/>
      <c r="Z52" s="98"/>
    </row>
    <row r="53" spans="1:26" ht="14.25" customHeight="1" x14ac:dyDescent="0.15">
      <c r="A53" s="344" t="e">
        <f>'Tab1'!#REF!</f>
        <v>#REF!</v>
      </c>
      <c r="B53" s="91" t="e">
        <f>IF('Tab1'!#REF!&lt;&gt;"",'Tab1'!#REF!,"")</f>
        <v>#REF!</v>
      </c>
      <c r="C53" s="91" t="e">
        <f>'Tab1'!#REF!</f>
        <v>#REF!</v>
      </c>
      <c r="D53" s="91" t="e">
        <f>'Tab1'!#REF!</f>
        <v>#REF!</v>
      </c>
      <c r="E53" s="91" t="e">
        <f>IF('Tab1'!#REF!&lt;0,"",'Tab1'!#REF!)</f>
        <v>#REF!</v>
      </c>
      <c r="F53" s="6" t="e">
        <f>'Tab1'!#REF!</f>
        <v>#REF!</v>
      </c>
      <c r="G53" s="91" t="e">
        <f>1/'Tab1'!#REF!</f>
        <v>#REF!</v>
      </c>
      <c r="H53" s="91" t="e">
        <f>IF(G53="","",'Tab1'!#REF!)</f>
        <v>#REF!</v>
      </c>
      <c r="I53" s="91" t="e">
        <f>IF(H53="","",'Tab1'!#REF!)</f>
        <v>#REF!</v>
      </c>
      <c r="J53" s="91" t="e">
        <f>IF(I53="","",'Tab1'!#REF!)</f>
        <v>#REF!</v>
      </c>
      <c r="K53" s="91" t="e">
        <f>IF(J53="","",'Tab1'!#REF!)</f>
        <v>#REF!</v>
      </c>
      <c r="L53" s="55"/>
      <c r="M53" s="55"/>
      <c r="N53" s="55"/>
      <c r="O53" s="7"/>
      <c r="P53" s="7"/>
      <c r="Q53" s="7"/>
      <c r="R53" s="7"/>
      <c r="S53" s="7"/>
      <c r="T53" s="7"/>
      <c r="U53" s="7"/>
      <c r="V53" s="5"/>
      <c r="W53" s="98"/>
      <c r="X53" s="98"/>
      <c r="Y53" s="98"/>
      <c r="Z53" s="98"/>
    </row>
    <row r="54" spans="1:26" ht="14.25" customHeight="1" x14ac:dyDescent="0.15">
      <c r="A54" s="344" t="e">
        <f>'Tab1'!#REF!</f>
        <v>#REF!</v>
      </c>
      <c r="B54" s="91" t="e">
        <f>IF('Tab1'!#REF!&lt;&gt;"",'Tab1'!#REF!,"")</f>
        <v>#REF!</v>
      </c>
      <c r="C54" s="91" t="e">
        <f>'Tab1'!#REF!</f>
        <v>#REF!</v>
      </c>
      <c r="D54" s="91" t="e">
        <f>'Tab1'!#REF!</f>
        <v>#REF!</v>
      </c>
      <c r="E54" s="91" t="e">
        <f>IF('Tab1'!#REF!&lt;0,"",'Tab1'!#REF!)</f>
        <v>#REF!</v>
      </c>
      <c r="F54" s="6" t="e">
        <f>'Tab1'!#REF!</f>
        <v>#REF!</v>
      </c>
      <c r="G54" s="91" t="e">
        <f>1/'Tab1'!#REF!</f>
        <v>#REF!</v>
      </c>
      <c r="H54" s="91" t="e">
        <f>IF(G54="","",'Tab1'!#REF!)</f>
        <v>#REF!</v>
      </c>
      <c r="I54" s="91" t="e">
        <f>IF(H54="","",'Tab1'!#REF!)</f>
        <v>#REF!</v>
      </c>
      <c r="J54" s="91" t="e">
        <f>IF(I54="","",'Tab1'!#REF!)</f>
        <v>#REF!</v>
      </c>
      <c r="K54" s="91" t="e">
        <f>IF(J54="","",'Tab1'!#REF!)</f>
        <v>#REF!</v>
      </c>
      <c r="L54" s="55"/>
      <c r="M54" s="55"/>
      <c r="N54" s="55"/>
      <c r="O54" s="7"/>
      <c r="P54" s="7"/>
      <c r="Q54" s="7"/>
      <c r="R54" s="7"/>
      <c r="S54" s="7"/>
      <c r="T54" s="7"/>
      <c r="U54" s="7"/>
      <c r="V54" s="5"/>
      <c r="W54" s="98"/>
      <c r="X54" s="98"/>
      <c r="Y54" s="98"/>
      <c r="Z54" s="98"/>
    </row>
    <row r="55" spans="1:26" ht="14.25" customHeight="1" x14ac:dyDescent="0.15">
      <c r="A55" s="344" t="e">
        <f>'Tab1'!#REF!</f>
        <v>#REF!</v>
      </c>
      <c r="B55" s="91" t="e">
        <f>IF('Tab1'!#REF!&lt;&gt;"",'Tab1'!#REF!,"")</f>
        <v>#REF!</v>
      </c>
      <c r="C55" s="91" t="e">
        <f>'Tab1'!#REF!</f>
        <v>#REF!</v>
      </c>
      <c r="D55" s="91" t="e">
        <f>'Tab1'!#REF!</f>
        <v>#REF!</v>
      </c>
      <c r="E55" s="91" t="e">
        <f>IF('Tab1'!#REF!&lt;0,"",'Tab1'!#REF!)</f>
        <v>#REF!</v>
      </c>
      <c r="F55" s="6" t="e">
        <f>'Tab1'!#REF!</f>
        <v>#REF!</v>
      </c>
      <c r="G55" s="91" t="e">
        <f>1/'Tab1'!#REF!</f>
        <v>#REF!</v>
      </c>
      <c r="H55" s="91" t="e">
        <f>IF(G55="","",'Tab1'!#REF!)</f>
        <v>#REF!</v>
      </c>
      <c r="I55" s="91" t="e">
        <f>IF(H55="","",'Tab1'!#REF!)</f>
        <v>#REF!</v>
      </c>
      <c r="J55" s="91" t="e">
        <f>IF(I55="","",'Tab1'!#REF!)</f>
        <v>#REF!</v>
      </c>
      <c r="K55" s="91" t="e">
        <f>IF(J55="","",'Tab1'!#REF!)</f>
        <v>#REF!</v>
      </c>
      <c r="L55" s="55"/>
      <c r="M55" s="55"/>
      <c r="N55" s="55"/>
      <c r="O55" s="7"/>
      <c r="P55" s="7"/>
      <c r="Q55" s="7"/>
      <c r="R55" s="7"/>
      <c r="S55" s="7"/>
      <c r="T55" s="7"/>
      <c r="U55" s="7"/>
      <c r="V55" s="5"/>
      <c r="W55" s="98"/>
      <c r="X55" s="98"/>
      <c r="Y55" s="98"/>
      <c r="Z55" s="98"/>
    </row>
    <row r="56" spans="1:26" ht="14.25" customHeight="1" x14ac:dyDescent="0.15">
      <c r="A56" s="344" t="e">
        <f>'Tab1'!#REF!</f>
        <v>#REF!</v>
      </c>
      <c r="B56" s="91" t="e">
        <f>IF('Tab1'!#REF!&lt;&gt;"",'Tab1'!#REF!,"")</f>
        <v>#REF!</v>
      </c>
      <c r="C56" s="91" t="e">
        <f>'Tab1'!#REF!</f>
        <v>#REF!</v>
      </c>
      <c r="D56" s="91" t="e">
        <f>'Tab1'!#REF!</f>
        <v>#REF!</v>
      </c>
      <c r="E56" s="91" t="e">
        <f>IF('Tab1'!#REF!&lt;0,"",'Tab1'!#REF!)</f>
        <v>#REF!</v>
      </c>
      <c r="F56" s="6" t="e">
        <f>'Tab1'!#REF!</f>
        <v>#REF!</v>
      </c>
      <c r="G56" s="91" t="e">
        <f>1/'Tab1'!#REF!</f>
        <v>#REF!</v>
      </c>
      <c r="H56" s="91" t="e">
        <f>IF(G56="","",'Tab1'!#REF!)</f>
        <v>#REF!</v>
      </c>
      <c r="I56" s="91" t="e">
        <f>IF(H56="","",'Tab1'!#REF!)</f>
        <v>#REF!</v>
      </c>
      <c r="J56" s="91" t="e">
        <f>IF(I56="","",'Tab1'!#REF!)</f>
        <v>#REF!</v>
      </c>
      <c r="K56" s="91" t="e">
        <f>IF(J56="","",'Tab1'!#REF!)</f>
        <v>#REF!</v>
      </c>
      <c r="L56" s="55"/>
      <c r="M56" s="55"/>
      <c r="N56" s="55"/>
      <c r="O56" s="7"/>
      <c r="P56" s="7"/>
      <c r="Q56" s="7"/>
      <c r="R56" s="7"/>
      <c r="S56" s="7"/>
      <c r="T56" s="7"/>
      <c r="U56" s="7"/>
      <c r="V56" s="5"/>
      <c r="W56" s="98"/>
      <c r="X56" s="98"/>
      <c r="Y56" s="98"/>
      <c r="Z56" s="98"/>
    </row>
    <row r="57" spans="1:26" ht="14.25" customHeight="1" x14ac:dyDescent="0.15">
      <c r="A57" s="344" t="e">
        <f>'Tab1'!#REF!</f>
        <v>#REF!</v>
      </c>
      <c r="B57" s="91" t="e">
        <f>IF('Tab1'!#REF!&lt;&gt;"",'Tab1'!#REF!,"")</f>
        <v>#REF!</v>
      </c>
      <c r="C57" s="91" t="e">
        <f>'Tab1'!#REF!</f>
        <v>#REF!</v>
      </c>
      <c r="D57" s="91" t="e">
        <f>'Tab1'!#REF!</f>
        <v>#REF!</v>
      </c>
      <c r="E57" s="91" t="e">
        <f>IF('Tab1'!#REF!&lt;0,"",'Tab1'!#REF!)</f>
        <v>#REF!</v>
      </c>
      <c r="F57" s="6" t="e">
        <f>'Tab1'!#REF!</f>
        <v>#REF!</v>
      </c>
      <c r="G57" s="91" t="e">
        <f>1/'Tab1'!#REF!</f>
        <v>#REF!</v>
      </c>
      <c r="H57" s="91" t="e">
        <f>IF(G57="","",'Tab1'!#REF!)</f>
        <v>#REF!</v>
      </c>
      <c r="I57" s="91" t="e">
        <f>IF(H57="","",'Tab1'!#REF!)</f>
        <v>#REF!</v>
      </c>
      <c r="J57" s="91" t="e">
        <f>IF(I57="","",'Tab1'!#REF!)</f>
        <v>#REF!</v>
      </c>
      <c r="K57" s="91" t="e">
        <f>IF(J57="","",'Tab1'!#REF!)</f>
        <v>#REF!</v>
      </c>
      <c r="L57" s="55"/>
      <c r="M57" s="55"/>
      <c r="N57" s="55"/>
      <c r="O57" s="7"/>
      <c r="P57" s="7"/>
      <c r="Q57" s="7"/>
      <c r="R57" s="7"/>
      <c r="S57" s="7"/>
      <c r="T57" s="7"/>
      <c r="U57" s="7"/>
      <c r="V57" s="5"/>
      <c r="W57" s="98"/>
      <c r="X57" s="98"/>
      <c r="Y57" s="98"/>
      <c r="Z57" s="98"/>
    </row>
    <row r="58" spans="1:26" ht="14.25" customHeight="1" x14ac:dyDescent="0.15">
      <c r="A58" s="344" t="e">
        <f>'Tab1'!#REF!</f>
        <v>#REF!</v>
      </c>
      <c r="B58" s="91" t="e">
        <f>IF('Tab1'!#REF!&lt;&gt;"",'Tab1'!#REF!,"")</f>
        <v>#REF!</v>
      </c>
      <c r="C58" s="91" t="e">
        <f>'Tab1'!#REF!</f>
        <v>#REF!</v>
      </c>
      <c r="D58" s="91" t="e">
        <f>'Tab1'!#REF!</f>
        <v>#REF!</v>
      </c>
      <c r="E58" s="91" t="e">
        <f>IF('Tab1'!#REF!&lt;0,"",'Tab1'!#REF!)</f>
        <v>#REF!</v>
      </c>
      <c r="F58" s="6" t="e">
        <f>'Tab1'!#REF!</f>
        <v>#REF!</v>
      </c>
      <c r="G58" s="91" t="e">
        <f>1/'Tab1'!#REF!</f>
        <v>#REF!</v>
      </c>
      <c r="H58" s="91" t="e">
        <f>IF(G58="","",'Tab1'!#REF!)</f>
        <v>#REF!</v>
      </c>
      <c r="I58" s="91" t="e">
        <f>IF(H58="","",'Tab1'!#REF!)</f>
        <v>#REF!</v>
      </c>
      <c r="J58" s="91" t="e">
        <f>IF(I58="","",'Tab1'!#REF!)</f>
        <v>#REF!</v>
      </c>
      <c r="K58" s="91" t="e">
        <f>IF(J58="","",'Tab1'!#REF!)</f>
        <v>#REF!</v>
      </c>
      <c r="L58" s="55"/>
      <c r="M58" s="55"/>
      <c r="N58" s="55"/>
      <c r="O58" s="7"/>
      <c r="P58" s="7"/>
      <c r="Q58" s="7"/>
      <c r="R58" s="7"/>
      <c r="S58" s="7"/>
      <c r="T58" s="7"/>
      <c r="U58" s="7"/>
      <c r="V58" s="5"/>
      <c r="W58" s="98"/>
      <c r="X58" s="98"/>
      <c r="Y58" s="98"/>
      <c r="Z58" s="98"/>
    </row>
    <row r="59" spans="1:26" ht="14.25" customHeight="1" x14ac:dyDescent="0.15">
      <c r="A59" s="344" t="e">
        <f>'Tab1'!#REF!</f>
        <v>#REF!</v>
      </c>
      <c r="B59" s="91" t="e">
        <f>IF('Tab1'!#REF!&lt;&gt;"",'Tab1'!#REF!,"")</f>
        <v>#REF!</v>
      </c>
      <c r="C59" s="91" t="e">
        <f>'Tab1'!#REF!</f>
        <v>#REF!</v>
      </c>
      <c r="D59" s="91" t="e">
        <f>'Tab1'!#REF!</f>
        <v>#REF!</v>
      </c>
      <c r="E59" s="91" t="e">
        <f>IF('Tab1'!#REF!&lt;0,"",'Tab1'!#REF!)</f>
        <v>#REF!</v>
      </c>
      <c r="F59" s="6" t="e">
        <f>'Tab1'!#REF!</f>
        <v>#REF!</v>
      </c>
      <c r="G59" s="91" t="e">
        <f>1/'Tab1'!#REF!</f>
        <v>#REF!</v>
      </c>
      <c r="H59" s="91" t="e">
        <f>IF(G59="","",'Tab1'!#REF!)</f>
        <v>#REF!</v>
      </c>
      <c r="I59" s="91" t="e">
        <f>IF(H59="","",'Tab1'!#REF!)</f>
        <v>#REF!</v>
      </c>
      <c r="J59" s="91" t="e">
        <f>IF(I59="","",'Tab1'!#REF!)</f>
        <v>#REF!</v>
      </c>
      <c r="K59" s="91" t="e">
        <f>IF(J59="","",'Tab1'!#REF!)</f>
        <v>#REF!</v>
      </c>
      <c r="L59" s="55"/>
      <c r="M59" s="55"/>
      <c r="N59" s="55"/>
      <c r="O59" s="7"/>
      <c r="P59" s="7"/>
      <c r="Q59" s="7"/>
      <c r="R59" s="7"/>
      <c r="S59" s="7"/>
      <c r="T59" s="7"/>
      <c r="U59" s="7"/>
      <c r="V59" s="5"/>
      <c r="W59" s="98"/>
      <c r="X59" s="98"/>
      <c r="Y59" s="98"/>
      <c r="Z59" s="98"/>
    </row>
    <row r="60" spans="1:26" ht="14.25" customHeight="1" x14ac:dyDescent="0.15">
      <c r="A60" s="344" t="e">
        <f>'Tab1'!#REF!</f>
        <v>#REF!</v>
      </c>
      <c r="B60" s="91" t="e">
        <f>IF('Tab1'!#REF!&lt;&gt;"",'Tab1'!#REF!,"")</f>
        <v>#REF!</v>
      </c>
      <c r="C60" s="91" t="e">
        <f>'Tab1'!#REF!</f>
        <v>#REF!</v>
      </c>
      <c r="D60" s="91" t="e">
        <f>'Tab1'!#REF!</f>
        <v>#REF!</v>
      </c>
      <c r="E60" s="91" t="e">
        <f>IF('Tab1'!#REF!&lt;0,"",'Tab1'!#REF!)</f>
        <v>#REF!</v>
      </c>
      <c r="F60" s="6" t="e">
        <f>'Tab1'!#REF!</f>
        <v>#REF!</v>
      </c>
      <c r="G60" s="91" t="e">
        <f>1/'Tab1'!#REF!</f>
        <v>#REF!</v>
      </c>
      <c r="H60" s="91" t="e">
        <f>IF(G60="","",'Tab1'!#REF!)</f>
        <v>#REF!</v>
      </c>
      <c r="I60" s="91" t="e">
        <f>IF(H60="","",'Tab1'!#REF!)</f>
        <v>#REF!</v>
      </c>
      <c r="J60" s="91" t="e">
        <f>IF(I60="","",'Tab1'!#REF!)</f>
        <v>#REF!</v>
      </c>
      <c r="K60" s="91" t="e">
        <f>IF(J60="","",'Tab1'!#REF!)</f>
        <v>#REF!</v>
      </c>
      <c r="L60" s="55"/>
      <c r="M60" s="55"/>
      <c r="N60" s="55"/>
      <c r="O60" s="7"/>
      <c r="P60" s="7"/>
      <c r="Q60" s="7"/>
      <c r="R60" s="7"/>
      <c r="S60" s="7"/>
      <c r="T60" s="7"/>
      <c r="U60" s="7"/>
      <c r="V60" s="5"/>
      <c r="W60" s="98"/>
      <c r="X60" s="98"/>
      <c r="Y60" s="98"/>
      <c r="Z60" s="98"/>
    </row>
    <row r="61" spans="1:26" ht="14.25" customHeight="1" x14ac:dyDescent="0.15">
      <c r="A61" s="344" t="e">
        <f>'Tab1'!#REF!</f>
        <v>#REF!</v>
      </c>
      <c r="B61" s="91" t="e">
        <f>IF('Tab1'!#REF!&lt;&gt;"",'Tab1'!#REF!,"")</f>
        <v>#REF!</v>
      </c>
      <c r="C61" s="91" t="e">
        <f>'Tab1'!#REF!</f>
        <v>#REF!</v>
      </c>
      <c r="D61" s="91" t="e">
        <f>'Tab1'!#REF!</f>
        <v>#REF!</v>
      </c>
      <c r="E61" s="91" t="e">
        <f>IF('Tab1'!#REF!&lt;0,"",'Tab1'!#REF!)</f>
        <v>#REF!</v>
      </c>
      <c r="F61" s="6" t="e">
        <f>'Tab1'!#REF!</f>
        <v>#REF!</v>
      </c>
      <c r="G61" s="91" t="e">
        <f>1/'Tab1'!#REF!</f>
        <v>#REF!</v>
      </c>
      <c r="H61" s="91" t="e">
        <f>IF(G61="","",'Tab1'!#REF!)</f>
        <v>#REF!</v>
      </c>
      <c r="I61" s="91" t="e">
        <f>IF(H61="","",'Tab1'!#REF!)</f>
        <v>#REF!</v>
      </c>
      <c r="J61" s="91" t="e">
        <f>IF(I61="","",'Tab1'!#REF!)</f>
        <v>#REF!</v>
      </c>
      <c r="K61" s="91" t="e">
        <f>IF(J61="","",'Tab1'!#REF!)</f>
        <v>#REF!</v>
      </c>
      <c r="L61" s="55"/>
      <c r="M61" s="55"/>
      <c r="N61" s="55"/>
      <c r="O61" s="7"/>
      <c r="P61" s="7"/>
      <c r="Q61" s="7"/>
      <c r="R61" s="7"/>
      <c r="S61" s="7"/>
      <c r="T61" s="7"/>
      <c r="U61" s="7"/>
      <c r="V61" s="5"/>
      <c r="W61" s="98"/>
      <c r="X61" s="98"/>
      <c r="Y61" s="98"/>
      <c r="Z61" s="98"/>
    </row>
    <row r="62" spans="1:26" ht="14.25" customHeight="1" x14ac:dyDescent="0.15">
      <c r="A62" s="344" t="e">
        <f>'Tab1'!#REF!</f>
        <v>#REF!</v>
      </c>
      <c r="B62" s="91" t="e">
        <f>IF('Tab1'!#REF!&lt;&gt;"",'Tab1'!#REF!,"")</f>
        <v>#REF!</v>
      </c>
      <c r="C62" s="91" t="e">
        <f>'Tab1'!#REF!</f>
        <v>#REF!</v>
      </c>
      <c r="D62" s="91" t="e">
        <f>'Tab1'!#REF!</f>
        <v>#REF!</v>
      </c>
      <c r="E62" s="91" t="e">
        <f>IF('Tab1'!#REF!&lt;0,"",'Tab1'!#REF!)</f>
        <v>#REF!</v>
      </c>
      <c r="F62" s="6" t="e">
        <f>'Tab1'!#REF!</f>
        <v>#REF!</v>
      </c>
      <c r="G62" s="91" t="e">
        <f>1/'Tab1'!#REF!</f>
        <v>#REF!</v>
      </c>
      <c r="H62" s="91" t="e">
        <f>IF(G62="","",'Tab1'!#REF!)</f>
        <v>#REF!</v>
      </c>
      <c r="I62" s="91" t="e">
        <f>IF(H62="","",'Tab1'!#REF!)</f>
        <v>#REF!</v>
      </c>
      <c r="J62" s="91" t="e">
        <f>IF(I62="","",'Tab1'!#REF!)</f>
        <v>#REF!</v>
      </c>
      <c r="K62" s="91" t="e">
        <f>IF(J62="","",'Tab1'!#REF!)</f>
        <v>#REF!</v>
      </c>
      <c r="L62" s="55"/>
      <c r="M62" s="55"/>
      <c r="N62" s="55"/>
      <c r="O62" s="7"/>
      <c r="P62" s="7"/>
      <c r="Q62" s="7"/>
      <c r="R62" s="7"/>
      <c r="S62" s="7"/>
      <c r="T62" s="7"/>
      <c r="U62" s="7"/>
      <c r="V62" s="5"/>
      <c r="W62" s="98"/>
      <c r="X62" s="98"/>
      <c r="Y62" s="98"/>
      <c r="Z62" s="98"/>
    </row>
    <row r="63" spans="1:26" ht="14.25" customHeight="1" x14ac:dyDescent="0.15">
      <c r="A63" s="344" t="e">
        <f>'Tab1'!#REF!</f>
        <v>#REF!</v>
      </c>
      <c r="B63" s="91" t="e">
        <f>IF('Tab1'!#REF!&lt;&gt;"",'Tab1'!#REF!,"")</f>
        <v>#REF!</v>
      </c>
      <c r="C63" s="91" t="e">
        <f>'Tab1'!#REF!</f>
        <v>#REF!</v>
      </c>
      <c r="D63" s="91" t="e">
        <f>'Tab1'!#REF!</f>
        <v>#REF!</v>
      </c>
      <c r="E63" s="91" t="e">
        <f>IF('Tab1'!#REF!&lt;0,"",'Tab1'!#REF!)</f>
        <v>#REF!</v>
      </c>
      <c r="F63" s="6" t="e">
        <f>'Tab1'!#REF!</f>
        <v>#REF!</v>
      </c>
      <c r="G63" s="91" t="e">
        <f>1/'Tab1'!#REF!</f>
        <v>#REF!</v>
      </c>
      <c r="H63" s="91" t="e">
        <f>IF(G63="","",'Tab1'!#REF!)</f>
        <v>#REF!</v>
      </c>
      <c r="I63" s="91" t="e">
        <f>IF(H63="","",'Tab1'!#REF!)</f>
        <v>#REF!</v>
      </c>
      <c r="J63" s="91" t="e">
        <f>IF(I63="","",'Tab1'!#REF!)</f>
        <v>#REF!</v>
      </c>
      <c r="K63" s="91" t="e">
        <f>IF(J63="","",'Tab1'!#REF!)</f>
        <v>#REF!</v>
      </c>
      <c r="L63" s="55"/>
      <c r="M63" s="55"/>
      <c r="N63" s="55"/>
      <c r="O63" s="7"/>
      <c r="P63" s="7"/>
      <c r="Q63" s="7"/>
      <c r="R63" s="7"/>
      <c r="S63" s="7"/>
      <c r="T63" s="7"/>
      <c r="U63" s="7"/>
      <c r="V63" s="5"/>
      <c r="W63" s="98"/>
      <c r="X63" s="98"/>
      <c r="Y63" s="98"/>
      <c r="Z63" s="98"/>
    </row>
    <row r="64" spans="1:26" ht="14.25" customHeight="1" x14ac:dyDescent="0.15">
      <c r="A64" s="344" t="e">
        <f>'Tab1'!#REF!</f>
        <v>#REF!</v>
      </c>
      <c r="B64" s="91" t="e">
        <f>IF('Tab1'!#REF!&lt;&gt;"",'Tab1'!#REF!,"")</f>
        <v>#REF!</v>
      </c>
      <c r="C64" s="91" t="e">
        <f>'Tab1'!#REF!</f>
        <v>#REF!</v>
      </c>
      <c r="D64" s="91" t="e">
        <f>'Tab1'!#REF!</f>
        <v>#REF!</v>
      </c>
      <c r="E64" s="91" t="e">
        <f>IF('Tab1'!#REF!&lt;0,"",'Tab1'!#REF!)</f>
        <v>#REF!</v>
      </c>
      <c r="F64" s="6" t="e">
        <f>'Tab1'!#REF!</f>
        <v>#REF!</v>
      </c>
      <c r="G64" s="91" t="e">
        <f>1/'Tab1'!#REF!</f>
        <v>#REF!</v>
      </c>
      <c r="H64" s="91" t="e">
        <f>IF(G64="","",'Tab1'!#REF!)</f>
        <v>#REF!</v>
      </c>
      <c r="I64" s="91" t="e">
        <f>IF(H64="","",'Tab1'!#REF!)</f>
        <v>#REF!</v>
      </c>
      <c r="J64" s="91" t="e">
        <f>IF(I64="","",'Tab1'!#REF!)</f>
        <v>#REF!</v>
      </c>
      <c r="K64" s="91" t="e">
        <f>IF(J64="","",'Tab1'!#REF!)</f>
        <v>#REF!</v>
      </c>
      <c r="L64" s="55"/>
      <c r="M64" s="55"/>
      <c r="N64" s="55"/>
      <c r="O64" s="7"/>
      <c r="P64" s="7"/>
      <c r="Q64" s="7"/>
      <c r="R64" s="7"/>
      <c r="S64" s="7"/>
      <c r="T64" s="7"/>
      <c r="U64" s="7"/>
      <c r="V64" s="5"/>
      <c r="W64" s="98"/>
      <c r="X64" s="98"/>
      <c r="Y64" s="98"/>
      <c r="Z64" s="98"/>
    </row>
    <row r="65" spans="1:26" ht="14.25" customHeight="1" x14ac:dyDescent="0.15">
      <c r="A65" s="344" t="e">
        <f>'Tab1'!#REF!</f>
        <v>#REF!</v>
      </c>
      <c r="B65" s="91" t="e">
        <f>IF('Tab1'!#REF!&lt;&gt;"",'Tab1'!#REF!,"")</f>
        <v>#REF!</v>
      </c>
      <c r="C65" s="91" t="e">
        <f>'Tab1'!#REF!</f>
        <v>#REF!</v>
      </c>
      <c r="D65" s="91" t="e">
        <f>'Tab1'!#REF!</f>
        <v>#REF!</v>
      </c>
      <c r="E65" s="91" t="e">
        <f>IF('Tab1'!#REF!&lt;0,"",'Tab1'!#REF!)</f>
        <v>#REF!</v>
      </c>
      <c r="F65" s="6" t="e">
        <f>'Tab1'!#REF!</f>
        <v>#REF!</v>
      </c>
      <c r="G65" s="91" t="e">
        <f>1/'Tab1'!#REF!</f>
        <v>#REF!</v>
      </c>
      <c r="H65" s="91" t="e">
        <f>IF(G65="","",'Tab1'!#REF!)</f>
        <v>#REF!</v>
      </c>
      <c r="I65" s="91" t="e">
        <f>IF(H65="","",'Tab1'!#REF!)</f>
        <v>#REF!</v>
      </c>
      <c r="J65" s="91" t="e">
        <f>IF(I65="","",'Tab1'!#REF!)</f>
        <v>#REF!</v>
      </c>
      <c r="K65" s="91" t="e">
        <f>IF(J65="","",'Tab1'!#REF!)</f>
        <v>#REF!</v>
      </c>
      <c r="L65" s="55"/>
      <c r="M65" s="55"/>
      <c r="N65" s="55"/>
      <c r="O65" s="7"/>
      <c r="P65" s="7"/>
      <c r="Q65" s="7"/>
      <c r="R65" s="7"/>
      <c r="S65" s="7"/>
      <c r="T65" s="7"/>
      <c r="U65" s="7"/>
      <c r="V65" s="5"/>
      <c r="W65" s="98"/>
      <c r="X65" s="98"/>
      <c r="Y65" s="98"/>
      <c r="Z65" s="98"/>
    </row>
    <row r="66" spans="1:26" ht="14.25" customHeight="1" x14ac:dyDescent="0.15">
      <c r="A66" s="344" t="e">
        <f>'Tab1'!#REF!</f>
        <v>#REF!</v>
      </c>
      <c r="B66" s="91" t="e">
        <f>IF('Tab1'!#REF!&lt;&gt;"",'Tab1'!#REF!,"")</f>
        <v>#REF!</v>
      </c>
      <c r="C66" s="91" t="e">
        <f>'Tab1'!#REF!</f>
        <v>#REF!</v>
      </c>
      <c r="D66" s="91" t="e">
        <f>'Tab1'!#REF!</f>
        <v>#REF!</v>
      </c>
      <c r="E66" s="91" t="e">
        <f>IF('Tab1'!#REF!&lt;0,"",'Tab1'!#REF!)</f>
        <v>#REF!</v>
      </c>
      <c r="F66" s="6" t="e">
        <f>'Tab1'!#REF!</f>
        <v>#REF!</v>
      </c>
      <c r="G66" s="91" t="e">
        <f>1/'Tab1'!#REF!</f>
        <v>#REF!</v>
      </c>
      <c r="H66" s="91" t="e">
        <f>IF(G66="","",'Tab1'!#REF!)</f>
        <v>#REF!</v>
      </c>
      <c r="I66" s="91" t="e">
        <f>IF(H66="","",'Tab1'!#REF!)</f>
        <v>#REF!</v>
      </c>
      <c r="J66" s="91" t="e">
        <f>IF(I66="","",'Tab1'!#REF!)</f>
        <v>#REF!</v>
      </c>
      <c r="K66" s="91" t="e">
        <f>IF(J66="","",'Tab1'!#REF!)</f>
        <v>#REF!</v>
      </c>
      <c r="L66" s="55"/>
      <c r="M66" s="55"/>
      <c r="N66" s="55"/>
      <c r="O66" s="7"/>
      <c r="P66" s="7"/>
      <c r="Q66" s="7"/>
      <c r="R66" s="7"/>
      <c r="S66" s="7"/>
      <c r="T66" s="7"/>
      <c r="U66" s="7"/>
      <c r="V66" s="5"/>
      <c r="W66" s="98"/>
      <c r="X66" s="98"/>
      <c r="Y66" s="98"/>
      <c r="Z66" s="98"/>
    </row>
    <row r="67" spans="1:26" ht="14.25" customHeight="1" x14ac:dyDescent="0.15">
      <c r="A67" s="344" t="e">
        <f>'Tab1'!#REF!</f>
        <v>#REF!</v>
      </c>
      <c r="B67" s="91" t="e">
        <f>IF('Tab1'!#REF!&lt;&gt;"",'Tab1'!#REF!,"")</f>
        <v>#REF!</v>
      </c>
      <c r="C67" s="91" t="e">
        <f>'Tab1'!#REF!</f>
        <v>#REF!</v>
      </c>
      <c r="D67" s="91" t="e">
        <f>'Tab1'!#REF!</f>
        <v>#REF!</v>
      </c>
      <c r="E67" s="91" t="e">
        <f>IF('Tab1'!#REF!&lt;0,"",'Tab1'!#REF!)</f>
        <v>#REF!</v>
      </c>
      <c r="F67" s="6" t="e">
        <f>'Tab1'!#REF!</f>
        <v>#REF!</v>
      </c>
      <c r="G67" s="91" t="e">
        <f>1/'Tab1'!#REF!</f>
        <v>#REF!</v>
      </c>
      <c r="H67" s="91" t="e">
        <f>IF(G67="","",'Tab1'!#REF!)</f>
        <v>#REF!</v>
      </c>
      <c r="I67" s="91" t="e">
        <f>IF(H67="","",'Tab1'!#REF!)</f>
        <v>#REF!</v>
      </c>
      <c r="J67" s="91" t="e">
        <f>IF(I67="","",'Tab1'!#REF!)</f>
        <v>#REF!</v>
      </c>
      <c r="K67" s="91" t="e">
        <f>IF(J67="","",'Tab1'!#REF!)</f>
        <v>#REF!</v>
      </c>
      <c r="L67" s="55"/>
      <c r="M67" s="55"/>
      <c r="N67" s="55"/>
      <c r="O67" s="7"/>
      <c r="P67" s="7"/>
      <c r="Q67" s="7"/>
      <c r="R67" s="7"/>
      <c r="S67" s="7"/>
      <c r="T67" s="7"/>
      <c r="U67" s="7"/>
      <c r="V67" s="5"/>
      <c r="W67" s="98"/>
      <c r="X67" s="98"/>
      <c r="Y67" s="98"/>
      <c r="Z67" s="98"/>
    </row>
    <row r="68" spans="1:26" ht="14.25" customHeight="1" x14ac:dyDescent="0.15">
      <c r="A68" s="344" t="e">
        <f>'Tab1'!#REF!</f>
        <v>#REF!</v>
      </c>
      <c r="B68" s="91" t="e">
        <f>IF('Tab1'!#REF!&lt;&gt;"",'Tab1'!#REF!,"")</f>
        <v>#REF!</v>
      </c>
      <c r="C68" s="91" t="e">
        <f>'Tab1'!#REF!</f>
        <v>#REF!</v>
      </c>
      <c r="D68" s="91" t="e">
        <f>'Tab1'!#REF!</f>
        <v>#REF!</v>
      </c>
      <c r="E68" s="91" t="e">
        <f>IF('Tab1'!#REF!&lt;0,"",'Tab1'!#REF!)</f>
        <v>#REF!</v>
      </c>
      <c r="F68" s="6" t="e">
        <f>'Tab1'!#REF!</f>
        <v>#REF!</v>
      </c>
      <c r="G68" s="91" t="e">
        <f>1/'Tab1'!#REF!</f>
        <v>#REF!</v>
      </c>
      <c r="H68" s="91" t="e">
        <f>IF(G68="","",'Tab1'!#REF!)</f>
        <v>#REF!</v>
      </c>
      <c r="I68" s="91" t="e">
        <f>IF(H68="","",'Tab1'!#REF!)</f>
        <v>#REF!</v>
      </c>
      <c r="J68" s="91" t="e">
        <f>IF(I68="","",'Tab1'!#REF!)</f>
        <v>#REF!</v>
      </c>
      <c r="K68" s="91" t="e">
        <f>IF(J68="","",'Tab1'!#REF!)</f>
        <v>#REF!</v>
      </c>
      <c r="L68" s="55"/>
      <c r="M68" s="55"/>
      <c r="N68" s="55"/>
      <c r="O68" s="7"/>
      <c r="P68" s="7"/>
      <c r="Q68" s="7"/>
      <c r="R68" s="7"/>
      <c r="S68" s="7"/>
      <c r="T68" s="7"/>
      <c r="U68" s="7"/>
      <c r="V68" s="5"/>
      <c r="W68" s="98"/>
      <c r="X68" s="98"/>
      <c r="Y68" s="98"/>
      <c r="Z68" s="98"/>
    </row>
    <row r="69" spans="1:26" ht="14.25" customHeight="1" x14ac:dyDescent="0.15">
      <c r="A69" s="344" t="e">
        <f>'Tab1'!#REF!</f>
        <v>#REF!</v>
      </c>
      <c r="B69" s="91" t="e">
        <f>IF('Tab1'!#REF!&lt;&gt;"",'Tab1'!#REF!,"")</f>
        <v>#REF!</v>
      </c>
      <c r="C69" s="91" t="e">
        <f>'Tab1'!#REF!</f>
        <v>#REF!</v>
      </c>
      <c r="D69" s="91" t="e">
        <f>'Tab1'!#REF!</f>
        <v>#REF!</v>
      </c>
      <c r="E69" s="91" t="e">
        <f>IF('Tab1'!#REF!&lt;0,"",'Tab1'!#REF!)</f>
        <v>#REF!</v>
      </c>
      <c r="F69" s="6" t="e">
        <f>'Tab1'!#REF!</f>
        <v>#REF!</v>
      </c>
      <c r="G69" s="91" t="e">
        <f>1/'Tab1'!#REF!</f>
        <v>#REF!</v>
      </c>
      <c r="H69" s="91" t="e">
        <f>IF(G69="","",'Tab1'!#REF!)</f>
        <v>#REF!</v>
      </c>
      <c r="I69" s="91" t="e">
        <f>IF(H69="","",'Tab1'!#REF!)</f>
        <v>#REF!</v>
      </c>
      <c r="J69" s="91" t="e">
        <f>IF(I69="","",'Tab1'!#REF!)</f>
        <v>#REF!</v>
      </c>
      <c r="K69" s="91" t="e">
        <f>IF(J69="","",'Tab1'!#REF!)</f>
        <v>#REF!</v>
      </c>
      <c r="L69" s="55"/>
      <c r="M69" s="55"/>
      <c r="N69" s="55"/>
      <c r="O69" s="7"/>
      <c r="P69" s="7"/>
      <c r="Q69" s="7"/>
      <c r="R69" s="7"/>
      <c r="S69" s="7"/>
      <c r="T69" s="7"/>
      <c r="U69" s="7"/>
      <c r="V69" s="5"/>
      <c r="W69" s="98"/>
      <c r="X69" s="98"/>
      <c r="Y69" s="98"/>
      <c r="Z69" s="98"/>
    </row>
    <row r="70" spans="1:26" ht="14.25" customHeight="1" x14ac:dyDescent="0.15">
      <c r="A70" s="344" t="e">
        <f>'Tab1'!#REF!</f>
        <v>#REF!</v>
      </c>
      <c r="B70" s="91" t="e">
        <f>IF('Tab1'!#REF!&lt;&gt;"",'Tab1'!#REF!,"")</f>
        <v>#REF!</v>
      </c>
      <c r="C70" s="91" t="e">
        <f>'Tab1'!#REF!</f>
        <v>#REF!</v>
      </c>
      <c r="D70" s="91" t="e">
        <f>'Tab1'!#REF!</f>
        <v>#REF!</v>
      </c>
      <c r="E70" s="91" t="e">
        <f>IF('Tab1'!#REF!&lt;0,"",'Tab1'!#REF!)</f>
        <v>#REF!</v>
      </c>
      <c r="F70" s="6" t="e">
        <f>'Tab1'!#REF!</f>
        <v>#REF!</v>
      </c>
      <c r="G70" s="91" t="e">
        <f>1/'Tab1'!#REF!</f>
        <v>#REF!</v>
      </c>
      <c r="H70" s="91" t="e">
        <f>IF(G70="","",'Tab1'!#REF!)</f>
        <v>#REF!</v>
      </c>
      <c r="I70" s="91" t="e">
        <f>IF(H70="","",'Tab1'!#REF!)</f>
        <v>#REF!</v>
      </c>
      <c r="J70" s="91" t="e">
        <f>IF(I70="","",'Tab1'!#REF!)</f>
        <v>#REF!</v>
      </c>
      <c r="K70" s="91" t="e">
        <f>IF(J70="","",'Tab1'!#REF!)</f>
        <v>#REF!</v>
      </c>
      <c r="L70" s="55"/>
      <c r="M70" s="55"/>
      <c r="N70" s="55"/>
      <c r="O70" s="7"/>
      <c r="P70" s="7"/>
      <c r="Q70" s="7"/>
      <c r="R70" s="7"/>
      <c r="S70" s="7"/>
      <c r="T70" s="7"/>
      <c r="U70" s="7"/>
      <c r="V70" s="5"/>
      <c r="W70" s="98"/>
      <c r="X70" s="98"/>
      <c r="Y70" s="98"/>
      <c r="Z70" s="98"/>
    </row>
    <row r="71" spans="1:26" ht="14.25" customHeight="1" x14ac:dyDescent="0.15">
      <c r="A71" s="344" t="e">
        <f>'Tab1'!#REF!</f>
        <v>#REF!</v>
      </c>
      <c r="B71" s="91" t="e">
        <f>IF('Tab1'!#REF!&lt;&gt;"",'Tab1'!#REF!,"")</f>
        <v>#REF!</v>
      </c>
      <c r="C71" s="91" t="e">
        <f>'Tab1'!#REF!</f>
        <v>#REF!</v>
      </c>
      <c r="D71" s="91" t="e">
        <f>'Tab1'!#REF!</f>
        <v>#REF!</v>
      </c>
      <c r="E71" s="91" t="e">
        <f>IF('Tab1'!#REF!&lt;0,"",'Tab1'!#REF!)</f>
        <v>#REF!</v>
      </c>
      <c r="F71" s="6" t="e">
        <f>'Tab1'!#REF!</f>
        <v>#REF!</v>
      </c>
      <c r="G71" s="91" t="e">
        <f>1/'Tab1'!#REF!</f>
        <v>#REF!</v>
      </c>
      <c r="H71" s="91" t="e">
        <f>IF(G71="","",'Tab1'!#REF!)</f>
        <v>#REF!</v>
      </c>
      <c r="I71" s="91" t="e">
        <f>IF(H71="","",'Tab1'!#REF!)</f>
        <v>#REF!</v>
      </c>
      <c r="J71" s="91" t="e">
        <f>IF(I71="","",'Tab1'!#REF!)</f>
        <v>#REF!</v>
      </c>
      <c r="K71" s="91" t="e">
        <f>IF(J71="","",'Tab1'!#REF!)</f>
        <v>#REF!</v>
      </c>
      <c r="L71" s="55"/>
      <c r="M71" s="55"/>
      <c r="N71" s="55"/>
      <c r="O71" s="7"/>
      <c r="P71" s="7"/>
      <c r="Q71" s="7"/>
      <c r="R71" s="7"/>
      <c r="S71" s="7"/>
      <c r="T71" s="7"/>
      <c r="U71" s="7"/>
      <c r="V71" s="5"/>
      <c r="W71" s="98"/>
      <c r="X71" s="98"/>
      <c r="Y71" s="98"/>
      <c r="Z71" s="98"/>
    </row>
    <row r="72" spans="1:26" ht="14.25" customHeight="1" x14ac:dyDescent="0.15">
      <c r="A72" s="344" t="e">
        <f>'Tab1'!#REF!</f>
        <v>#REF!</v>
      </c>
      <c r="B72" s="91" t="e">
        <f>IF('Tab1'!#REF!&lt;&gt;"",'Tab1'!#REF!,"")</f>
        <v>#REF!</v>
      </c>
      <c r="C72" s="91" t="e">
        <f>'Tab1'!#REF!</f>
        <v>#REF!</v>
      </c>
      <c r="D72" s="91" t="e">
        <f>'Tab1'!#REF!</f>
        <v>#REF!</v>
      </c>
      <c r="E72" s="91" t="e">
        <f>IF('Tab1'!#REF!&lt;0,"",'Tab1'!#REF!)</f>
        <v>#REF!</v>
      </c>
      <c r="F72" s="6" t="e">
        <f>'Tab1'!#REF!</f>
        <v>#REF!</v>
      </c>
      <c r="G72" s="91" t="e">
        <f>1/'Tab1'!#REF!</f>
        <v>#REF!</v>
      </c>
      <c r="H72" s="91" t="e">
        <f>IF(G72="","",'Tab1'!#REF!)</f>
        <v>#REF!</v>
      </c>
      <c r="I72" s="91" t="e">
        <f>IF(H72="","",'Tab1'!#REF!)</f>
        <v>#REF!</v>
      </c>
      <c r="J72" s="91" t="e">
        <f>IF(I72="","",'Tab1'!#REF!)</f>
        <v>#REF!</v>
      </c>
      <c r="K72" s="91" t="e">
        <f>IF(J72="","",'Tab1'!#REF!)</f>
        <v>#REF!</v>
      </c>
      <c r="L72" s="55"/>
      <c r="M72" s="55"/>
      <c r="N72" s="55"/>
      <c r="O72" s="7"/>
      <c r="P72" s="7"/>
      <c r="Q72" s="7"/>
      <c r="R72" s="7"/>
      <c r="S72" s="7"/>
      <c r="T72" s="7"/>
      <c r="U72" s="7"/>
      <c r="V72" s="5"/>
      <c r="W72" s="98"/>
      <c r="X72" s="98"/>
      <c r="Y72" s="98"/>
      <c r="Z72" s="98"/>
    </row>
    <row r="73" spans="1:26" ht="14.25" customHeight="1" x14ac:dyDescent="0.15">
      <c r="A73" s="344" t="e">
        <f>'Tab1'!#REF!</f>
        <v>#REF!</v>
      </c>
      <c r="B73" s="91" t="e">
        <f>IF('Tab1'!#REF!&lt;&gt;"",'Tab1'!#REF!,"")</f>
        <v>#REF!</v>
      </c>
      <c r="C73" s="91" t="e">
        <f>'Tab1'!#REF!</f>
        <v>#REF!</v>
      </c>
      <c r="D73" s="91" t="e">
        <f>'Tab1'!#REF!</f>
        <v>#REF!</v>
      </c>
      <c r="E73" s="91" t="e">
        <f>IF('Tab1'!#REF!&lt;0,"",'Tab1'!#REF!)</f>
        <v>#REF!</v>
      </c>
      <c r="F73" s="6" t="e">
        <f>'Tab1'!#REF!</f>
        <v>#REF!</v>
      </c>
      <c r="G73" s="91" t="e">
        <f>1/'Tab1'!#REF!</f>
        <v>#REF!</v>
      </c>
      <c r="H73" s="91" t="e">
        <f>IF(G73="","",'Tab1'!#REF!)</f>
        <v>#REF!</v>
      </c>
      <c r="I73" s="91" t="e">
        <f>IF(H73="","",'Tab1'!#REF!)</f>
        <v>#REF!</v>
      </c>
      <c r="J73" s="91" t="e">
        <f>IF(I73="","",'Tab1'!#REF!)</f>
        <v>#REF!</v>
      </c>
      <c r="K73" s="91" t="e">
        <f>IF(J73="","",'Tab1'!#REF!)</f>
        <v>#REF!</v>
      </c>
      <c r="L73" s="55"/>
      <c r="M73" s="55"/>
      <c r="N73" s="55"/>
      <c r="O73" s="7"/>
      <c r="P73" s="7"/>
      <c r="Q73" s="7"/>
      <c r="R73" s="7"/>
      <c r="S73" s="7"/>
      <c r="T73" s="7"/>
      <c r="U73" s="7"/>
      <c r="V73" s="5"/>
      <c r="W73" s="98"/>
      <c r="X73" s="98"/>
      <c r="Y73" s="98"/>
      <c r="Z73" s="98"/>
    </row>
    <row r="74" spans="1:26" ht="14.25" customHeight="1" x14ac:dyDescent="0.15">
      <c r="A74" s="344" t="e">
        <f>'Tab1'!#REF!</f>
        <v>#REF!</v>
      </c>
      <c r="B74" s="91" t="e">
        <f>IF('Tab1'!#REF!&lt;&gt;"",'Tab1'!#REF!,"")</f>
        <v>#REF!</v>
      </c>
      <c r="C74" s="91" t="e">
        <f>'Tab1'!#REF!</f>
        <v>#REF!</v>
      </c>
      <c r="D74" s="91" t="e">
        <f>'Tab1'!#REF!</f>
        <v>#REF!</v>
      </c>
      <c r="E74" s="91" t="e">
        <f>IF('Tab1'!#REF!&lt;0,"",'Tab1'!#REF!)</f>
        <v>#REF!</v>
      </c>
      <c r="F74" s="6" t="e">
        <f>'Tab1'!#REF!</f>
        <v>#REF!</v>
      </c>
      <c r="G74" s="91" t="e">
        <f>1/'Tab1'!#REF!</f>
        <v>#REF!</v>
      </c>
      <c r="H74" s="91" t="e">
        <f>IF(G74="","",'Tab1'!#REF!)</f>
        <v>#REF!</v>
      </c>
      <c r="I74" s="91" t="e">
        <f>IF(H74="","",'Tab1'!#REF!)</f>
        <v>#REF!</v>
      </c>
      <c r="J74" s="91" t="e">
        <f>IF(I74="","",'Tab1'!#REF!)</f>
        <v>#REF!</v>
      </c>
      <c r="K74" s="91" t="e">
        <f>IF(J74="","",'Tab1'!#REF!)</f>
        <v>#REF!</v>
      </c>
      <c r="L74" s="55"/>
      <c r="M74" s="55"/>
      <c r="N74" s="55"/>
      <c r="O74" s="7"/>
      <c r="P74" s="7"/>
      <c r="Q74" s="7"/>
      <c r="R74" s="7"/>
      <c r="S74" s="7"/>
      <c r="T74" s="7"/>
      <c r="U74" s="7"/>
      <c r="V74" s="5"/>
      <c r="W74" s="98"/>
      <c r="X74" s="98"/>
      <c r="Y74" s="98"/>
      <c r="Z74" s="98"/>
    </row>
    <row r="75" spans="1:26" ht="14.25" customHeight="1" x14ac:dyDescent="0.15">
      <c r="A75" s="344" t="e">
        <f>'Tab1'!#REF!</f>
        <v>#REF!</v>
      </c>
      <c r="B75" s="91" t="e">
        <f>IF('Tab1'!#REF!&lt;&gt;"",'Tab1'!#REF!,"")</f>
        <v>#REF!</v>
      </c>
      <c r="C75" s="91" t="e">
        <f>'Tab1'!#REF!</f>
        <v>#REF!</v>
      </c>
      <c r="D75" s="91" t="e">
        <f>'Tab1'!#REF!</f>
        <v>#REF!</v>
      </c>
      <c r="E75" s="91" t="e">
        <f>IF('Tab1'!#REF!&lt;0,"",'Tab1'!#REF!)</f>
        <v>#REF!</v>
      </c>
      <c r="F75" s="6" t="e">
        <f>'Tab1'!#REF!</f>
        <v>#REF!</v>
      </c>
      <c r="G75" s="91" t="e">
        <f>1/'Tab1'!#REF!</f>
        <v>#REF!</v>
      </c>
      <c r="H75" s="91" t="e">
        <f>IF(G75="","",'Tab1'!#REF!)</f>
        <v>#REF!</v>
      </c>
      <c r="I75" s="91" t="e">
        <f>IF(H75="","",'Tab1'!#REF!)</f>
        <v>#REF!</v>
      </c>
      <c r="J75" s="91" t="e">
        <f>IF(I75="","",'Tab1'!#REF!)</f>
        <v>#REF!</v>
      </c>
      <c r="K75" s="91" t="e">
        <f>IF(J75="","",'Tab1'!#REF!)</f>
        <v>#REF!</v>
      </c>
      <c r="L75" s="55"/>
      <c r="M75" s="55"/>
      <c r="N75" s="55"/>
      <c r="O75" s="7"/>
      <c r="P75" s="7"/>
      <c r="Q75" s="7"/>
      <c r="R75" s="7"/>
      <c r="S75" s="7"/>
      <c r="T75" s="7"/>
      <c r="U75" s="7"/>
      <c r="V75" s="5"/>
      <c r="W75" s="98"/>
      <c r="X75" s="98"/>
      <c r="Y75" s="98"/>
      <c r="Z75" s="98"/>
    </row>
    <row r="76" spans="1:26" ht="14.25" customHeight="1" x14ac:dyDescent="0.15">
      <c r="A76" s="344" t="e">
        <f>'Tab1'!#REF!</f>
        <v>#REF!</v>
      </c>
      <c r="B76" s="91" t="e">
        <f>IF('Tab1'!#REF!&lt;&gt;"",'Tab1'!#REF!,"")</f>
        <v>#REF!</v>
      </c>
      <c r="C76" s="91" t="e">
        <f>'Tab1'!#REF!</f>
        <v>#REF!</v>
      </c>
      <c r="D76" s="91" t="e">
        <f>'Tab1'!#REF!</f>
        <v>#REF!</v>
      </c>
      <c r="E76" s="91" t="e">
        <f>IF('Tab1'!#REF!&lt;0,"",'Tab1'!#REF!)</f>
        <v>#REF!</v>
      </c>
      <c r="F76" s="6" t="e">
        <f>'Tab1'!#REF!</f>
        <v>#REF!</v>
      </c>
      <c r="G76" s="91" t="e">
        <f>1/'Tab1'!#REF!</f>
        <v>#REF!</v>
      </c>
      <c r="H76" s="91" t="e">
        <f>IF(G76="","",'Tab1'!#REF!)</f>
        <v>#REF!</v>
      </c>
      <c r="I76" s="91" t="e">
        <f>IF(H76="","",'Tab1'!#REF!)</f>
        <v>#REF!</v>
      </c>
      <c r="J76" s="91" t="e">
        <f>IF(I76="","",'Tab1'!#REF!)</f>
        <v>#REF!</v>
      </c>
      <c r="K76" s="91" t="e">
        <f>IF(J76="","",'Tab1'!#REF!)</f>
        <v>#REF!</v>
      </c>
      <c r="L76" s="55"/>
      <c r="M76" s="55"/>
      <c r="N76" s="55"/>
      <c r="O76" s="7"/>
      <c r="P76" s="7"/>
      <c r="Q76" s="7"/>
      <c r="R76" s="7"/>
      <c r="S76" s="7"/>
      <c r="T76" s="7"/>
      <c r="U76" s="7"/>
      <c r="V76" s="5"/>
      <c r="W76" s="98"/>
      <c r="X76" s="98"/>
      <c r="Y76" s="98"/>
      <c r="Z76" s="98"/>
    </row>
    <row r="77" spans="1:26" ht="14.25" customHeight="1" x14ac:dyDescent="0.15">
      <c r="A77" s="344" t="e">
        <f>'Tab1'!#REF!</f>
        <v>#REF!</v>
      </c>
      <c r="B77" s="91" t="e">
        <f>IF('Tab1'!#REF!&lt;&gt;"",'Tab1'!#REF!,"")</f>
        <v>#REF!</v>
      </c>
      <c r="C77" s="91" t="e">
        <f>'Tab1'!#REF!</f>
        <v>#REF!</v>
      </c>
      <c r="D77" s="91" t="e">
        <f>'Tab1'!#REF!</f>
        <v>#REF!</v>
      </c>
      <c r="E77" s="91" t="e">
        <f>IF('Tab1'!#REF!&lt;0,"",'Tab1'!#REF!)</f>
        <v>#REF!</v>
      </c>
      <c r="F77" s="6" t="e">
        <f>'Tab1'!#REF!</f>
        <v>#REF!</v>
      </c>
      <c r="G77" s="91" t="e">
        <f>1/'Tab1'!#REF!</f>
        <v>#REF!</v>
      </c>
      <c r="H77" s="91" t="e">
        <f>IF(G77="","",'Tab1'!#REF!)</f>
        <v>#REF!</v>
      </c>
      <c r="I77" s="91" t="e">
        <f>IF(H77="","",'Tab1'!#REF!)</f>
        <v>#REF!</v>
      </c>
      <c r="J77" s="91" t="e">
        <f>IF(I77="","",'Tab1'!#REF!)</f>
        <v>#REF!</v>
      </c>
      <c r="K77" s="91" t="e">
        <f>IF(J77="","",'Tab1'!#REF!)</f>
        <v>#REF!</v>
      </c>
      <c r="L77" s="55"/>
      <c r="M77" s="55"/>
      <c r="N77" s="55"/>
      <c r="O77" s="7"/>
      <c r="P77" s="7"/>
      <c r="Q77" s="7"/>
      <c r="R77" s="7"/>
      <c r="S77" s="7"/>
      <c r="T77" s="7"/>
      <c r="U77" s="7"/>
      <c r="V77" s="5"/>
      <c r="W77" s="98"/>
      <c r="X77" s="98"/>
      <c r="Y77" s="98"/>
      <c r="Z77" s="98"/>
    </row>
    <row r="78" spans="1:26" ht="14.25" customHeight="1" x14ac:dyDescent="0.15">
      <c r="A78" s="344" t="e">
        <f>'Tab1'!#REF!</f>
        <v>#REF!</v>
      </c>
      <c r="B78" s="91" t="e">
        <f>IF('Tab1'!#REF!&lt;&gt;"",'Tab1'!#REF!,"")</f>
        <v>#REF!</v>
      </c>
      <c r="C78" s="91" t="e">
        <f>'Tab1'!#REF!</f>
        <v>#REF!</v>
      </c>
      <c r="D78" s="91" t="e">
        <f>'Tab1'!#REF!</f>
        <v>#REF!</v>
      </c>
      <c r="E78" s="91" t="e">
        <f>IF('Tab1'!#REF!&lt;0,"",'Tab1'!#REF!)</f>
        <v>#REF!</v>
      </c>
      <c r="F78" s="6" t="e">
        <f>'Tab1'!#REF!</f>
        <v>#REF!</v>
      </c>
      <c r="G78" s="91" t="e">
        <f>1/'Tab1'!#REF!</f>
        <v>#REF!</v>
      </c>
      <c r="H78" s="91" t="e">
        <f>IF(G78="","",'Tab1'!#REF!)</f>
        <v>#REF!</v>
      </c>
      <c r="I78" s="91" t="e">
        <f>IF(H78="","",'Tab1'!#REF!)</f>
        <v>#REF!</v>
      </c>
      <c r="J78" s="91" t="e">
        <f>IF(I78="","",'Tab1'!#REF!)</f>
        <v>#REF!</v>
      </c>
      <c r="K78" s="91" t="e">
        <f>IF(J78="","",'Tab1'!#REF!)</f>
        <v>#REF!</v>
      </c>
      <c r="L78" s="55"/>
      <c r="M78" s="55"/>
      <c r="N78" s="55"/>
      <c r="O78" s="7"/>
      <c r="P78" s="7"/>
      <c r="Q78" s="7"/>
      <c r="R78" s="7"/>
      <c r="S78" s="7"/>
      <c r="T78" s="7"/>
      <c r="U78" s="7"/>
      <c r="V78" s="5"/>
      <c r="W78" s="98"/>
      <c r="X78" s="98"/>
      <c r="Y78" s="98"/>
      <c r="Z78" s="98"/>
    </row>
    <row r="79" spans="1:26" ht="14.25" customHeight="1" x14ac:dyDescent="0.15">
      <c r="A79" s="344" t="e">
        <f>'Tab1'!#REF!</f>
        <v>#REF!</v>
      </c>
      <c r="B79" s="91" t="e">
        <f>IF('Tab1'!#REF!&lt;&gt;"",'Tab1'!#REF!,"")</f>
        <v>#REF!</v>
      </c>
      <c r="C79" s="91" t="e">
        <f>'Tab1'!#REF!</f>
        <v>#REF!</v>
      </c>
      <c r="D79" s="91" t="e">
        <f>'Tab1'!#REF!</f>
        <v>#REF!</v>
      </c>
      <c r="E79" s="91" t="e">
        <f>IF('Tab1'!#REF!&lt;0,"",'Tab1'!#REF!)</f>
        <v>#REF!</v>
      </c>
      <c r="F79" s="6" t="e">
        <f>'Tab1'!#REF!</f>
        <v>#REF!</v>
      </c>
      <c r="G79" s="91" t="e">
        <f>1/'Tab1'!#REF!</f>
        <v>#REF!</v>
      </c>
      <c r="H79" s="91" t="e">
        <f>IF(G79="","",'Tab1'!#REF!)</f>
        <v>#REF!</v>
      </c>
      <c r="I79" s="91" t="e">
        <f>IF(H79="","",'Tab1'!#REF!)</f>
        <v>#REF!</v>
      </c>
      <c r="J79" s="91" t="e">
        <f>IF(I79="","",'Tab1'!#REF!)</f>
        <v>#REF!</v>
      </c>
      <c r="K79" s="91" t="e">
        <f>IF(J79="","",'Tab1'!#REF!)</f>
        <v>#REF!</v>
      </c>
      <c r="L79" s="55"/>
      <c r="M79" s="55"/>
      <c r="N79" s="55"/>
      <c r="O79" s="7"/>
      <c r="P79" s="7"/>
      <c r="Q79" s="7"/>
      <c r="R79" s="7"/>
      <c r="S79" s="7"/>
      <c r="T79" s="7"/>
      <c r="U79" s="7"/>
      <c r="V79" s="5"/>
      <c r="W79" s="98"/>
      <c r="X79" s="98"/>
      <c r="Y79" s="98"/>
      <c r="Z79" s="98"/>
    </row>
    <row r="80" spans="1:26" ht="14.25" customHeight="1" x14ac:dyDescent="0.15">
      <c r="A80" s="344" t="e">
        <f>'Tab1'!#REF!</f>
        <v>#REF!</v>
      </c>
      <c r="B80" s="91" t="e">
        <f>IF('Tab1'!#REF!&lt;&gt;"",'Tab1'!#REF!,"")</f>
        <v>#REF!</v>
      </c>
      <c r="C80" s="91" t="e">
        <f>'Tab1'!#REF!</f>
        <v>#REF!</v>
      </c>
      <c r="D80" s="91" t="e">
        <f>'Tab1'!#REF!</f>
        <v>#REF!</v>
      </c>
      <c r="E80" s="91" t="e">
        <f>IF('Tab1'!#REF!&lt;0,"",'Tab1'!#REF!)</f>
        <v>#REF!</v>
      </c>
      <c r="F80" s="6" t="e">
        <f>'Tab1'!#REF!</f>
        <v>#REF!</v>
      </c>
      <c r="G80" s="91" t="e">
        <f>1/'Tab1'!#REF!</f>
        <v>#REF!</v>
      </c>
      <c r="H80" s="91" t="e">
        <f>IF(G80="","",'Tab1'!#REF!)</f>
        <v>#REF!</v>
      </c>
      <c r="I80" s="91" t="e">
        <f>IF(H80="","",'Tab1'!#REF!)</f>
        <v>#REF!</v>
      </c>
      <c r="J80" s="91" t="e">
        <f>IF(I80="","",'Tab1'!#REF!)</f>
        <v>#REF!</v>
      </c>
      <c r="K80" s="91" t="e">
        <f>IF(J80="","",'Tab1'!#REF!)</f>
        <v>#REF!</v>
      </c>
      <c r="L80" s="55"/>
      <c r="M80" s="55"/>
      <c r="N80" s="55"/>
      <c r="O80" s="7"/>
      <c r="P80" s="7"/>
      <c r="Q80" s="7"/>
      <c r="R80" s="7"/>
      <c r="S80" s="7"/>
      <c r="T80" s="7"/>
      <c r="U80" s="7"/>
      <c r="V80" s="5"/>
      <c r="W80" s="98"/>
      <c r="X80" s="98"/>
      <c r="Y80" s="98"/>
      <c r="Z80" s="98"/>
    </row>
    <row r="81" spans="1:26" ht="14.25" customHeight="1" x14ac:dyDescent="0.15">
      <c r="A81" s="344" t="e">
        <f>'Tab1'!#REF!</f>
        <v>#REF!</v>
      </c>
      <c r="B81" s="91" t="e">
        <f>IF('Tab1'!#REF!&lt;&gt;"",'Tab1'!#REF!,"")</f>
        <v>#REF!</v>
      </c>
      <c r="C81" s="91" t="e">
        <f>'Tab1'!#REF!</f>
        <v>#REF!</v>
      </c>
      <c r="D81" s="91" t="e">
        <f>'Tab1'!#REF!</f>
        <v>#REF!</v>
      </c>
      <c r="E81" s="91" t="e">
        <f>IF('Tab1'!#REF!&lt;0,"",'Tab1'!#REF!)</f>
        <v>#REF!</v>
      </c>
      <c r="F81" s="6" t="e">
        <f>'Tab1'!#REF!</f>
        <v>#REF!</v>
      </c>
      <c r="G81" s="91" t="e">
        <f>1/'Tab1'!#REF!</f>
        <v>#REF!</v>
      </c>
      <c r="H81" s="91" t="e">
        <f>IF(G81="","",'Tab1'!#REF!)</f>
        <v>#REF!</v>
      </c>
      <c r="I81" s="91" t="e">
        <f>IF(H81="","",'Tab1'!#REF!)</f>
        <v>#REF!</v>
      </c>
      <c r="J81" s="91" t="e">
        <f>IF(I81="","",'Tab1'!#REF!)</f>
        <v>#REF!</v>
      </c>
      <c r="K81" s="91" t="e">
        <f>IF(J81="","",'Tab1'!#REF!)</f>
        <v>#REF!</v>
      </c>
      <c r="L81" s="55"/>
      <c r="M81" s="55"/>
      <c r="N81" s="55"/>
      <c r="O81" s="7"/>
      <c r="P81" s="7"/>
      <c r="Q81" s="7"/>
      <c r="R81" s="7"/>
      <c r="S81" s="7"/>
      <c r="T81" s="7"/>
      <c r="U81" s="7"/>
      <c r="V81" s="5"/>
      <c r="W81" s="98"/>
      <c r="X81" s="98"/>
      <c r="Y81" s="98"/>
      <c r="Z81" s="98"/>
    </row>
    <row r="82" spans="1:26" ht="14.25" customHeight="1" x14ac:dyDescent="0.15">
      <c r="A82" s="344" t="e">
        <f>'Tab1'!#REF!</f>
        <v>#REF!</v>
      </c>
      <c r="B82" s="91" t="e">
        <f>IF('Tab1'!#REF!&lt;&gt;"",'Tab1'!#REF!,"")</f>
        <v>#REF!</v>
      </c>
      <c r="C82" s="91" t="e">
        <f>'Tab1'!#REF!</f>
        <v>#REF!</v>
      </c>
      <c r="D82" s="91" t="e">
        <f>'Tab1'!#REF!</f>
        <v>#REF!</v>
      </c>
      <c r="E82" s="91" t="e">
        <f>IF('Tab1'!#REF!&lt;0,"",'Tab1'!#REF!)</f>
        <v>#REF!</v>
      </c>
      <c r="F82" s="6" t="e">
        <f>'Tab1'!#REF!</f>
        <v>#REF!</v>
      </c>
      <c r="G82" s="91" t="e">
        <f>1/'Tab1'!#REF!</f>
        <v>#REF!</v>
      </c>
      <c r="H82" s="91" t="e">
        <f>IF(G82="","",'Tab1'!#REF!)</f>
        <v>#REF!</v>
      </c>
      <c r="I82" s="91" t="e">
        <f>IF(H82="","",'Tab1'!#REF!)</f>
        <v>#REF!</v>
      </c>
      <c r="J82" s="91" t="e">
        <f>IF(I82="","",'Tab1'!#REF!)</f>
        <v>#REF!</v>
      </c>
      <c r="K82" s="91" t="e">
        <f>IF(J82="","",'Tab1'!#REF!)</f>
        <v>#REF!</v>
      </c>
      <c r="L82" s="55"/>
      <c r="M82" s="55"/>
      <c r="N82" s="55"/>
      <c r="O82" s="7"/>
      <c r="P82" s="7"/>
      <c r="Q82" s="7"/>
      <c r="R82" s="7"/>
      <c r="S82" s="7"/>
      <c r="T82" s="7"/>
      <c r="U82" s="7"/>
      <c r="V82" s="5"/>
      <c r="W82" s="98"/>
      <c r="X82" s="98"/>
      <c r="Y82" s="98"/>
      <c r="Z82" s="98"/>
    </row>
    <row r="83" spans="1:26" ht="14.25" customHeight="1" x14ac:dyDescent="0.15">
      <c r="A83" s="344" t="e">
        <f>'Tab1'!#REF!</f>
        <v>#REF!</v>
      </c>
      <c r="B83" s="91" t="e">
        <f>IF('Tab1'!#REF!&lt;&gt;"",'Tab1'!#REF!,"")</f>
        <v>#REF!</v>
      </c>
      <c r="C83" s="91" t="e">
        <f>'Tab1'!#REF!</f>
        <v>#REF!</v>
      </c>
      <c r="D83" s="91" t="e">
        <f>'Tab1'!#REF!</f>
        <v>#REF!</v>
      </c>
      <c r="E83" s="91" t="e">
        <f>IF('Tab1'!#REF!&lt;0,"",'Tab1'!#REF!)</f>
        <v>#REF!</v>
      </c>
      <c r="F83" s="6" t="e">
        <f>'Tab1'!#REF!</f>
        <v>#REF!</v>
      </c>
      <c r="G83" s="91" t="e">
        <f>1/'Tab1'!#REF!</f>
        <v>#REF!</v>
      </c>
      <c r="H83" s="91" t="e">
        <f>IF(G83="","",'Tab1'!#REF!)</f>
        <v>#REF!</v>
      </c>
      <c r="I83" s="91" t="e">
        <f>IF(H83="","",'Tab1'!#REF!)</f>
        <v>#REF!</v>
      </c>
      <c r="J83" s="91" t="e">
        <f>IF(I83="","",'Tab1'!#REF!)</f>
        <v>#REF!</v>
      </c>
      <c r="K83" s="91" t="e">
        <f>IF(J83="","",'Tab1'!#REF!)</f>
        <v>#REF!</v>
      </c>
      <c r="L83" s="55"/>
      <c r="M83" s="55"/>
      <c r="N83" s="55"/>
      <c r="O83" s="7"/>
      <c r="P83" s="7"/>
      <c r="Q83" s="7"/>
      <c r="R83" s="7"/>
      <c r="S83" s="7"/>
      <c r="T83" s="7"/>
      <c r="U83" s="7"/>
      <c r="V83" s="5"/>
      <c r="W83" s="98"/>
      <c r="X83" s="98"/>
      <c r="Y83" s="98"/>
      <c r="Z83" s="98"/>
    </row>
    <row r="84" spans="1:26" ht="14.25" customHeight="1" x14ac:dyDescent="0.15">
      <c r="A84" s="344" t="e">
        <f>'Tab1'!#REF!</f>
        <v>#REF!</v>
      </c>
      <c r="B84" s="91" t="e">
        <f>IF('Tab1'!#REF!&lt;&gt;"",'Tab1'!#REF!,"")</f>
        <v>#REF!</v>
      </c>
      <c r="C84" s="91" t="e">
        <f>'Tab1'!#REF!</f>
        <v>#REF!</v>
      </c>
      <c r="D84" s="91" t="e">
        <f>'Tab1'!#REF!</f>
        <v>#REF!</v>
      </c>
      <c r="E84" s="91" t="e">
        <f>IF('Tab1'!#REF!&lt;0,"",'Tab1'!#REF!)</f>
        <v>#REF!</v>
      </c>
      <c r="F84" s="6" t="e">
        <f>'Tab1'!#REF!</f>
        <v>#REF!</v>
      </c>
      <c r="G84" s="91" t="e">
        <f>1/'Tab1'!#REF!</f>
        <v>#REF!</v>
      </c>
      <c r="H84" s="91" t="e">
        <f>IF(G84="","",'Tab1'!#REF!)</f>
        <v>#REF!</v>
      </c>
      <c r="I84" s="91" t="e">
        <f>IF(H84="","",'Tab1'!#REF!)</f>
        <v>#REF!</v>
      </c>
      <c r="J84" s="91" t="e">
        <f>IF(I84="","",'Tab1'!#REF!)</f>
        <v>#REF!</v>
      </c>
      <c r="K84" s="91" t="e">
        <f>IF(J84="","",'Tab1'!#REF!)</f>
        <v>#REF!</v>
      </c>
      <c r="L84" s="55"/>
      <c r="M84" s="55"/>
      <c r="N84" s="55"/>
      <c r="O84" s="7"/>
      <c r="P84" s="7"/>
      <c r="Q84" s="7"/>
      <c r="R84" s="7"/>
      <c r="S84" s="7"/>
      <c r="T84" s="7"/>
      <c r="U84" s="7"/>
      <c r="V84" s="5"/>
      <c r="W84" s="98"/>
      <c r="X84" s="98"/>
      <c r="Y84" s="98"/>
      <c r="Z84" s="98"/>
    </row>
    <row r="85" spans="1:26" ht="14.25" customHeight="1" x14ac:dyDescent="0.15">
      <c r="A85" s="344" t="e">
        <f>'Tab1'!#REF!</f>
        <v>#REF!</v>
      </c>
      <c r="B85" s="91" t="e">
        <f>IF('Tab1'!#REF!&lt;&gt;"",'Tab1'!#REF!,"")</f>
        <v>#REF!</v>
      </c>
      <c r="C85" s="91" t="e">
        <f>'Tab1'!#REF!</f>
        <v>#REF!</v>
      </c>
      <c r="D85" s="91" t="e">
        <f>'Tab1'!#REF!</f>
        <v>#REF!</v>
      </c>
      <c r="E85" s="91" t="e">
        <f>IF('Tab1'!#REF!&lt;0,"",'Tab1'!#REF!)</f>
        <v>#REF!</v>
      </c>
      <c r="F85" s="6" t="e">
        <f>'Tab1'!#REF!</f>
        <v>#REF!</v>
      </c>
      <c r="G85" s="91" t="e">
        <f>1/'Tab1'!#REF!</f>
        <v>#REF!</v>
      </c>
      <c r="H85" s="91" t="e">
        <f>IF(G85="","",'Tab1'!#REF!)</f>
        <v>#REF!</v>
      </c>
      <c r="I85" s="91" t="e">
        <f>IF(H85="","",'Tab1'!#REF!)</f>
        <v>#REF!</v>
      </c>
      <c r="J85" s="91" t="e">
        <f>IF(I85="","",'Tab1'!#REF!)</f>
        <v>#REF!</v>
      </c>
      <c r="K85" s="91" t="e">
        <f>IF(J85="","",'Tab1'!#REF!)</f>
        <v>#REF!</v>
      </c>
      <c r="L85" s="55"/>
      <c r="M85" s="55"/>
      <c r="N85" s="55"/>
      <c r="O85" s="7"/>
      <c r="P85" s="7"/>
      <c r="Q85" s="7"/>
      <c r="R85" s="7"/>
      <c r="S85" s="7"/>
      <c r="T85" s="7"/>
      <c r="U85" s="7"/>
      <c r="V85" s="5"/>
      <c r="W85" s="98"/>
      <c r="X85" s="98"/>
      <c r="Y85" s="98"/>
      <c r="Z85" s="98"/>
    </row>
    <row r="86" spans="1:26" ht="14.25" customHeight="1" x14ac:dyDescent="0.15">
      <c r="A86" s="344" t="e">
        <f>'Tab1'!#REF!</f>
        <v>#REF!</v>
      </c>
      <c r="B86" s="91" t="e">
        <f>IF('Tab1'!#REF!&lt;&gt;"",'Tab1'!#REF!,"")</f>
        <v>#REF!</v>
      </c>
      <c r="C86" s="91" t="e">
        <f>'Tab1'!#REF!</f>
        <v>#REF!</v>
      </c>
      <c r="D86" s="91" t="e">
        <f>'Tab1'!#REF!</f>
        <v>#REF!</v>
      </c>
      <c r="E86" s="91" t="e">
        <f>IF('Tab1'!#REF!&lt;0,"",'Tab1'!#REF!)</f>
        <v>#REF!</v>
      </c>
      <c r="F86" s="6" t="e">
        <f>'Tab1'!#REF!</f>
        <v>#REF!</v>
      </c>
      <c r="G86" s="91" t="e">
        <f>1/'Tab1'!#REF!</f>
        <v>#REF!</v>
      </c>
      <c r="H86" s="91" t="e">
        <f>IF(G86="","",'Tab1'!#REF!)</f>
        <v>#REF!</v>
      </c>
      <c r="I86" s="91" t="e">
        <f>IF(H86="","",'Tab1'!#REF!)</f>
        <v>#REF!</v>
      </c>
      <c r="J86" s="91" t="e">
        <f>IF(I86="","",'Tab1'!#REF!)</f>
        <v>#REF!</v>
      </c>
      <c r="K86" s="91" t="e">
        <f>IF(J86="","",'Tab1'!#REF!)</f>
        <v>#REF!</v>
      </c>
      <c r="L86" s="55"/>
      <c r="M86" s="55"/>
      <c r="N86" s="55"/>
      <c r="O86" s="7"/>
      <c r="P86" s="7"/>
      <c r="Q86" s="7"/>
      <c r="R86" s="7"/>
      <c r="S86" s="7"/>
      <c r="T86" s="7"/>
      <c r="U86" s="7"/>
      <c r="V86" s="5"/>
      <c r="W86" s="98"/>
      <c r="X86" s="98"/>
      <c r="Y86" s="98"/>
      <c r="Z86" s="98"/>
    </row>
    <row r="87" spans="1:26" ht="14.25" customHeight="1" x14ac:dyDescent="0.15">
      <c r="A87" s="344" t="e">
        <f>'Tab1'!#REF!</f>
        <v>#REF!</v>
      </c>
      <c r="B87" s="91" t="e">
        <f>IF('Tab1'!#REF!&lt;&gt;"",'Tab1'!#REF!,"")</f>
        <v>#REF!</v>
      </c>
      <c r="C87" s="91" t="e">
        <f>'Tab1'!#REF!</f>
        <v>#REF!</v>
      </c>
      <c r="D87" s="91" t="e">
        <f>'Tab1'!#REF!</f>
        <v>#REF!</v>
      </c>
      <c r="E87" s="91" t="e">
        <f>IF('Tab1'!#REF!&lt;0,"",'Tab1'!#REF!)</f>
        <v>#REF!</v>
      </c>
      <c r="F87" s="6" t="e">
        <f>'Tab1'!#REF!</f>
        <v>#REF!</v>
      </c>
      <c r="G87" s="91" t="e">
        <f>1/'Tab1'!#REF!</f>
        <v>#REF!</v>
      </c>
      <c r="H87" s="91" t="e">
        <f>IF(G87="","",'Tab1'!#REF!)</f>
        <v>#REF!</v>
      </c>
      <c r="I87" s="91" t="e">
        <f>IF(H87="","",'Tab1'!#REF!)</f>
        <v>#REF!</v>
      </c>
      <c r="J87" s="91" t="e">
        <f>IF(I87="","",'Tab1'!#REF!)</f>
        <v>#REF!</v>
      </c>
      <c r="K87" s="91" t="e">
        <f>IF(J87="","",'Tab1'!#REF!)</f>
        <v>#REF!</v>
      </c>
      <c r="L87" s="55"/>
      <c r="M87" s="55"/>
      <c r="N87" s="55"/>
      <c r="O87" s="7"/>
      <c r="P87" s="7"/>
      <c r="Q87" s="7"/>
      <c r="R87" s="7"/>
      <c r="S87" s="7"/>
      <c r="T87" s="7"/>
      <c r="U87" s="7"/>
      <c r="V87" s="5"/>
      <c r="W87" s="98"/>
      <c r="X87" s="98"/>
      <c r="Y87" s="98"/>
      <c r="Z87" s="98"/>
    </row>
    <row r="88" spans="1:26" ht="14.25" customHeight="1" x14ac:dyDescent="0.15">
      <c r="A88" s="344" t="e">
        <f>'Tab1'!#REF!</f>
        <v>#REF!</v>
      </c>
      <c r="B88" s="91" t="e">
        <f>IF('Tab1'!#REF!&lt;&gt;"",'Tab1'!#REF!,"")</f>
        <v>#REF!</v>
      </c>
      <c r="C88" s="91" t="e">
        <f>'Tab1'!#REF!</f>
        <v>#REF!</v>
      </c>
      <c r="D88" s="91" t="e">
        <f>'Tab1'!#REF!</f>
        <v>#REF!</v>
      </c>
      <c r="E88" s="91" t="e">
        <f>IF('Tab1'!#REF!&lt;0,"",'Tab1'!#REF!)</f>
        <v>#REF!</v>
      </c>
      <c r="F88" s="6" t="e">
        <f>'Tab1'!#REF!</f>
        <v>#REF!</v>
      </c>
      <c r="G88" s="91" t="e">
        <f>1/'Tab1'!#REF!</f>
        <v>#REF!</v>
      </c>
      <c r="H88" s="91" t="e">
        <f>IF(G88="","",'Tab1'!#REF!)</f>
        <v>#REF!</v>
      </c>
      <c r="I88" s="91" t="e">
        <f>IF(H88="","",'Tab1'!#REF!)</f>
        <v>#REF!</v>
      </c>
      <c r="J88" s="91" t="e">
        <f>IF(I88="","",'Tab1'!#REF!)</f>
        <v>#REF!</v>
      </c>
      <c r="K88" s="91" t="e">
        <f>IF(J88="","",'Tab1'!#REF!)</f>
        <v>#REF!</v>
      </c>
      <c r="L88" s="55"/>
      <c r="M88" s="55"/>
      <c r="N88" s="55"/>
      <c r="O88" s="7"/>
      <c r="P88" s="7"/>
      <c r="Q88" s="7"/>
      <c r="R88" s="7"/>
      <c r="S88" s="7"/>
      <c r="T88" s="7"/>
      <c r="U88" s="7"/>
      <c r="V88" s="5"/>
      <c r="W88" s="98"/>
      <c r="X88" s="98"/>
      <c r="Y88" s="98"/>
      <c r="Z88" s="98"/>
    </row>
    <row r="89" spans="1:26" ht="14.25" customHeight="1" x14ac:dyDescent="0.15">
      <c r="A89" s="344" t="e">
        <f>'Tab1'!#REF!</f>
        <v>#REF!</v>
      </c>
      <c r="B89" s="91" t="e">
        <f>IF('Tab1'!#REF!&lt;&gt;"",'Tab1'!#REF!,"")</f>
        <v>#REF!</v>
      </c>
      <c r="C89" s="91" t="e">
        <f>'Tab1'!#REF!</f>
        <v>#REF!</v>
      </c>
      <c r="D89" s="91" t="e">
        <f>'Tab1'!#REF!</f>
        <v>#REF!</v>
      </c>
      <c r="E89" s="91" t="e">
        <f>IF('Tab1'!#REF!&lt;0,"",'Tab1'!#REF!)</f>
        <v>#REF!</v>
      </c>
      <c r="F89" s="6" t="e">
        <f>'Tab1'!#REF!</f>
        <v>#REF!</v>
      </c>
      <c r="G89" s="91" t="e">
        <f>1/'Tab1'!#REF!</f>
        <v>#REF!</v>
      </c>
      <c r="H89" s="91" t="e">
        <f>IF(G89="","",'Tab1'!#REF!)</f>
        <v>#REF!</v>
      </c>
      <c r="I89" s="91" t="e">
        <f>IF(H89="","",'Tab1'!#REF!)</f>
        <v>#REF!</v>
      </c>
      <c r="J89" s="91" t="e">
        <f>IF(I89="","",'Tab1'!#REF!)</f>
        <v>#REF!</v>
      </c>
      <c r="K89" s="91" t="e">
        <f>IF(J89="","",'Tab1'!#REF!)</f>
        <v>#REF!</v>
      </c>
      <c r="L89" s="55"/>
      <c r="M89" s="55"/>
      <c r="N89" s="55"/>
      <c r="O89" s="7"/>
      <c r="P89" s="7"/>
      <c r="Q89" s="7"/>
      <c r="R89" s="7"/>
      <c r="S89" s="7"/>
      <c r="T89" s="7"/>
      <c r="U89" s="7"/>
      <c r="V89" s="5"/>
      <c r="W89" s="98"/>
      <c r="X89" s="98"/>
      <c r="Y89" s="98"/>
      <c r="Z89" s="98"/>
    </row>
    <row r="90" spans="1:26" ht="14.25" customHeight="1" x14ac:dyDescent="0.15">
      <c r="A90" s="344" t="e">
        <f>'Tab1'!#REF!</f>
        <v>#REF!</v>
      </c>
      <c r="B90" s="91" t="e">
        <f>IF('Tab1'!#REF!&lt;&gt;"",'Tab1'!#REF!,"")</f>
        <v>#REF!</v>
      </c>
      <c r="C90" s="91" t="e">
        <f>'Tab1'!#REF!</f>
        <v>#REF!</v>
      </c>
      <c r="D90" s="91" t="e">
        <f>'Tab1'!#REF!</f>
        <v>#REF!</v>
      </c>
      <c r="E90" s="91" t="e">
        <f>IF('Tab1'!#REF!&lt;0,"",'Tab1'!#REF!)</f>
        <v>#REF!</v>
      </c>
      <c r="F90" s="6" t="e">
        <f>'Tab1'!#REF!</f>
        <v>#REF!</v>
      </c>
      <c r="G90" s="91" t="e">
        <f>1/'Tab1'!#REF!</f>
        <v>#REF!</v>
      </c>
      <c r="H90" s="91" t="e">
        <f>IF(G90="","",'Tab1'!#REF!)</f>
        <v>#REF!</v>
      </c>
      <c r="I90" s="91" t="e">
        <f>IF(H90="","",'Tab1'!#REF!)</f>
        <v>#REF!</v>
      </c>
      <c r="J90" s="91" t="e">
        <f>IF(I90="","",'Tab1'!#REF!)</f>
        <v>#REF!</v>
      </c>
      <c r="K90" s="91" t="e">
        <f>IF(J90="","",'Tab1'!#REF!)</f>
        <v>#REF!</v>
      </c>
      <c r="L90" s="55"/>
      <c r="M90" s="55"/>
      <c r="N90" s="55"/>
      <c r="O90" s="7"/>
      <c r="P90" s="7"/>
      <c r="Q90" s="7"/>
      <c r="R90" s="7"/>
      <c r="S90" s="7"/>
      <c r="T90" s="7"/>
      <c r="U90" s="7"/>
      <c r="V90" s="5"/>
      <c r="W90" s="98"/>
      <c r="X90" s="98"/>
      <c r="Y90" s="98"/>
      <c r="Z90" s="98"/>
    </row>
    <row r="91" spans="1:26" ht="14.25" customHeight="1" x14ac:dyDescent="0.15">
      <c r="A91" s="344" t="e">
        <f>'Tab1'!#REF!</f>
        <v>#REF!</v>
      </c>
      <c r="B91" s="91" t="e">
        <f>IF('Tab1'!#REF!&lt;&gt;"",'Tab1'!#REF!,"")</f>
        <v>#REF!</v>
      </c>
      <c r="C91" s="91" t="e">
        <f>'Tab1'!#REF!</f>
        <v>#REF!</v>
      </c>
      <c r="D91" s="91" t="e">
        <f>'Tab1'!#REF!</f>
        <v>#REF!</v>
      </c>
      <c r="E91" s="91" t="e">
        <f>IF('Tab1'!#REF!&lt;0,"",'Tab1'!#REF!)</f>
        <v>#REF!</v>
      </c>
      <c r="F91" s="6" t="e">
        <f>'Tab1'!#REF!</f>
        <v>#REF!</v>
      </c>
      <c r="G91" s="91" t="e">
        <f>1/'Tab1'!#REF!</f>
        <v>#REF!</v>
      </c>
      <c r="H91" s="91" t="e">
        <f>IF(G91="","",'Tab1'!#REF!)</f>
        <v>#REF!</v>
      </c>
      <c r="I91" s="91" t="e">
        <f>IF(H91="","",'Tab1'!#REF!)</f>
        <v>#REF!</v>
      </c>
      <c r="J91" s="91" t="e">
        <f>IF(I91="","",'Tab1'!#REF!)</f>
        <v>#REF!</v>
      </c>
      <c r="K91" s="91" t="e">
        <f>IF(J91="","",'Tab1'!#REF!)</f>
        <v>#REF!</v>
      </c>
      <c r="L91" s="55"/>
      <c r="M91" s="55"/>
      <c r="N91" s="55"/>
      <c r="O91" s="7"/>
      <c r="P91" s="7"/>
      <c r="Q91" s="7"/>
      <c r="R91" s="7"/>
      <c r="S91" s="7"/>
      <c r="T91" s="7"/>
      <c r="U91" s="7"/>
      <c r="V91" s="5"/>
      <c r="W91" s="98"/>
      <c r="X91" s="98"/>
      <c r="Y91" s="98"/>
      <c r="Z91" s="98"/>
    </row>
    <row r="92" spans="1:26" ht="14.25" customHeight="1" x14ac:dyDescent="0.15">
      <c r="A92" s="344" t="e">
        <f>'Tab1'!#REF!</f>
        <v>#REF!</v>
      </c>
      <c r="B92" s="91" t="e">
        <f>IF('Tab1'!#REF!&lt;&gt;"",'Tab1'!#REF!,"")</f>
        <v>#REF!</v>
      </c>
      <c r="C92" s="91" t="e">
        <f>'Tab1'!#REF!</f>
        <v>#REF!</v>
      </c>
      <c r="D92" s="91" t="e">
        <f>'Tab1'!#REF!</f>
        <v>#REF!</v>
      </c>
      <c r="E92" s="91" t="e">
        <f>IF('Tab1'!#REF!&lt;0,"",'Tab1'!#REF!)</f>
        <v>#REF!</v>
      </c>
      <c r="F92" s="6" t="e">
        <f>'Tab1'!#REF!</f>
        <v>#REF!</v>
      </c>
      <c r="G92" s="91" t="e">
        <f>1/'Tab1'!#REF!</f>
        <v>#REF!</v>
      </c>
      <c r="H92" s="91" t="e">
        <f>IF(G92="","",'Tab1'!#REF!)</f>
        <v>#REF!</v>
      </c>
      <c r="I92" s="91" t="e">
        <f>IF(H92="","",'Tab1'!#REF!)</f>
        <v>#REF!</v>
      </c>
      <c r="J92" s="91" t="e">
        <f>IF(I92="","",'Tab1'!#REF!)</f>
        <v>#REF!</v>
      </c>
      <c r="K92" s="91" t="e">
        <f>IF(J92="","",'Tab1'!#REF!)</f>
        <v>#REF!</v>
      </c>
      <c r="L92" s="55"/>
      <c r="M92" s="55"/>
      <c r="N92" s="55"/>
      <c r="O92" s="7"/>
      <c r="P92" s="7"/>
      <c r="Q92" s="7"/>
      <c r="R92" s="7"/>
      <c r="S92" s="7"/>
      <c r="T92" s="7"/>
      <c r="U92" s="7"/>
      <c r="V92" s="5"/>
      <c r="W92" s="98"/>
      <c r="X92" s="98"/>
      <c r="Y92" s="98"/>
      <c r="Z92" s="98"/>
    </row>
    <row r="93" spans="1:26" ht="14.25" customHeight="1" x14ac:dyDescent="0.15">
      <c r="A93" s="344" t="e">
        <f>'Tab1'!#REF!</f>
        <v>#REF!</v>
      </c>
      <c r="B93" s="91" t="e">
        <f>IF('Tab1'!#REF!&lt;&gt;"",'Tab1'!#REF!,"")</f>
        <v>#REF!</v>
      </c>
      <c r="C93" s="91" t="e">
        <f>'Tab1'!#REF!</f>
        <v>#REF!</v>
      </c>
      <c r="D93" s="91" t="e">
        <f>'Tab1'!#REF!</f>
        <v>#REF!</v>
      </c>
      <c r="E93" s="91" t="e">
        <f>IF('Tab1'!#REF!&lt;0,"",'Tab1'!#REF!)</f>
        <v>#REF!</v>
      </c>
      <c r="F93" s="6" t="e">
        <f>'Tab1'!#REF!</f>
        <v>#REF!</v>
      </c>
      <c r="G93" s="91" t="e">
        <f>1/'Tab1'!#REF!</f>
        <v>#REF!</v>
      </c>
      <c r="H93" s="91" t="e">
        <f>IF(G93="","",'Tab1'!#REF!)</f>
        <v>#REF!</v>
      </c>
      <c r="I93" s="91" t="e">
        <f>IF(H93="","",'Tab1'!#REF!)</f>
        <v>#REF!</v>
      </c>
      <c r="J93" s="91" t="e">
        <f>IF(I93="","",'Tab1'!#REF!)</f>
        <v>#REF!</v>
      </c>
      <c r="K93" s="91" t="e">
        <f>IF(J93="","",'Tab1'!#REF!)</f>
        <v>#REF!</v>
      </c>
      <c r="L93" s="55"/>
      <c r="M93" s="55"/>
      <c r="N93" s="55"/>
      <c r="O93" s="7"/>
      <c r="P93" s="7"/>
      <c r="Q93" s="7"/>
      <c r="R93" s="7"/>
      <c r="S93" s="7"/>
      <c r="T93" s="7"/>
      <c r="U93" s="7"/>
      <c r="V93" s="5"/>
      <c r="W93" s="98"/>
      <c r="X93" s="98"/>
      <c r="Y93" s="98"/>
      <c r="Z93" s="98"/>
    </row>
    <row r="94" spans="1:26" ht="14.25" customHeight="1" x14ac:dyDescent="0.15">
      <c r="A94" s="344" t="e">
        <f>'Tab1'!#REF!</f>
        <v>#REF!</v>
      </c>
      <c r="B94" s="91" t="e">
        <f>IF('Tab1'!#REF!&lt;&gt;"",'Tab1'!#REF!,"")</f>
        <v>#REF!</v>
      </c>
      <c r="C94" s="91" t="e">
        <f>'Tab1'!#REF!</f>
        <v>#REF!</v>
      </c>
      <c r="D94" s="91" t="e">
        <f>'Tab1'!#REF!</f>
        <v>#REF!</v>
      </c>
      <c r="E94" s="91" t="e">
        <f>IF('Tab1'!#REF!&lt;0,"",'Tab1'!#REF!)</f>
        <v>#REF!</v>
      </c>
      <c r="F94" s="6" t="e">
        <f>'Tab1'!#REF!</f>
        <v>#REF!</v>
      </c>
      <c r="G94" s="91" t="e">
        <f>1/'Tab1'!#REF!</f>
        <v>#REF!</v>
      </c>
      <c r="H94" s="91" t="e">
        <f>IF(G94="","",'Tab1'!#REF!)</f>
        <v>#REF!</v>
      </c>
      <c r="I94" s="91" t="e">
        <f>IF(H94="","",'Tab1'!#REF!)</f>
        <v>#REF!</v>
      </c>
      <c r="J94" s="91" t="e">
        <f>IF(I94="","",'Tab1'!#REF!)</f>
        <v>#REF!</v>
      </c>
      <c r="K94" s="91" t="e">
        <f>IF(J94="","",'Tab1'!#REF!)</f>
        <v>#REF!</v>
      </c>
      <c r="L94" s="55"/>
      <c r="M94" s="55"/>
      <c r="N94" s="55"/>
      <c r="O94" s="7"/>
      <c r="P94" s="7"/>
      <c r="Q94" s="7"/>
      <c r="R94" s="7"/>
      <c r="S94" s="7"/>
      <c r="T94" s="7"/>
      <c r="U94" s="7"/>
      <c r="V94" s="5"/>
      <c r="W94" s="98"/>
      <c r="X94" s="98"/>
      <c r="Y94" s="98"/>
      <c r="Z94" s="98"/>
    </row>
    <row r="95" spans="1:26" ht="14.25" customHeight="1" x14ac:dyDescent="0.15">
      <c r="A95" s="344" t="e">
        <f>'Tab1'!#REF!</f>
        <v>#REF!</v>
      </c>
      <c r="B95" s="91" t="e">
        <f>IF('Tab1'!#REF!&lt;&gt;"",'Tab1'!#REF!,"")</f>
        <v>#REF!</v>
      </c>
      <c r="C95" s="91" t="e">
        <f>'Tab1'!#REF!</f>
        <v>#REF!</v>
      </c>
      <c r="D95" s="91" t="e">
        <f>'Tab1'!#REF!</f>
        <v>#REF!</v>
      </c>
      <c r="E95" s="91" t="e">
        <f>IF('Tab1'!#REF!&lt;0,"",'Tab1'!#REF!)</f>
        <v>#REF!</v>
      </c>
      <c r="F95" s="6" t="e">
        <f>'Tab1'!#REF!</f>
        <v>#REF!</v>
      </c>
      <c r="G95" s="91" t="e">
        <f>1/'Tab1'!#REF!</f>
        <v>#REF!</v>
      </c>
      <c r="H95" s="91" t="e">
        <f>IF(G95="","",'Tab1'!#REF!)</f>
        <v>#REF!</v>
      </c>
      <c r="I95" s="91" t="e">
        <f>IF(H95="","",'Tab1'!#REF!)</f>
        <v>#REF!</v>
      </c>
      <c r="J95" s="91" t="e">
        <f>IF(I95="","",'Tab1'!#REF!)</f>
        <v>#REF!</v>
      </c>
      <c r="K95" s="91" t="e">
        <f>IF(J95="","",'Tab1'!#REF!)</f>
        <v>#REF!</v>
      </c>
      <c r="L95" s="55"/>
      <c r="M95" s="55"/>
      <c r="N95" s="55"/>
      <c r="O95" s="7"/>
      <c r="P95" s="7"/>
      <c r="Q95" s="7"/>
      <c r="R95" s="7"/>
      <c r="S95" s="7"/>
      <c r="T95" s="7"/>
      <c r="U95" s="7"/>
      <c r="V95" s="5"/>
      <c r="W95" s="98"/>
      <c r="X95" s="98"/>
      <c r="Y95" s="98"/>
      <c r="Z95" s="98"/>
    </row>
    <row r="96" spans="1:26" ht="14.25" customHeight="1" x14ac:dyDescent="0.15">
      <c r="A96" s="344" t="e">
        <f>'Tab1'!#REF!</f>
        <v>#REF!</v>
      </c>
      <c r="B96" s="91" t="e">
        <f>IF('Tab1'!#REF!&lt;&gt;"",'Tab1'!#REF!,"")</f>
        <v>#REF!</v>
      </c>
      <c r="C96" s="91" t="e">
        <f>'Tab1'!#REF!</f>
        <v>#REF!</v>
      </c>
      <c r="D96" s="91" t="e">
        <f>'Tab1'!#REF!</f>
        <v>#REF!</v>
      </c>
      <c r="E96" s="91" t="e">
        <f>IF('Tab1'!#REF!&lt;0,"",'Tab1'!#REF!)</f>
        <v>#REF!</v>
      </c>
      <c r="F96" s="6" t="e">
        <f>'Tab1'!#REF!</f>
        <v>#REF!</v>
      </c>
      <c r="G96" s="91" t="e">
        <f>1/'Tab1'!#REF!</f>
        <v>#REF!</v>
      </c>
      <c r="H96" s="91" t="e">
        <f>IF(G96="","",'Tab1'!#REF!)</f>
        <v>#REF!</v>
      </c>
      <c r="I96" s="91" t="e">
        <f>IF(H96="","",'Tab1'!#REF!)</f>
        <v>#REF!</v>
      </c>
      <c r="J96" s="91" t="e">
        <f>IF(I96="","",'Tab1'!#REF!)</f>
        <v>#REF!</v>
      </c>
      <c r="K96" s="91" t="e">
        <f>IF(J96="","",'Tab1'!#REF!)</f>
        <v>#REF!</v>
      </c>
      <c r="L96" s="55"/>
      <c r="M96" s="55"/>
      <c r="N96" s="55"/>
      <c r="O96" s="7"/>
      <c r="P96" s="7"/>
      <c r="Q96" s="7"/>
      <c r="R96" s="7"/>
      <c r="S96" s="7"/>
      <c r="T96" s="7"/>
      <c r="U96" s="7"/>
      <c r="V96" s="5"/>
      <c r="W96" s="98"/>
      <c r="X96" s="98"/>
      <c r="Y96" s="98"/>
      <c r="Z96" s="98"/>
    </row>
    <row r="97" spans="1:26" ht="14.25" customHeight="1" x14ac:dyDescent="0.15">
      <c r="A97" s="344" t="e">
        <f>'Tab1'!#REF!</f>
        <v>#REF!</v>
      </c>
      <c r="B97" s="91" t="e">
        <f>IF('Tab1'!#REF!&lt;&gt;"",'Tab1'!#REF!,"")</f>
        <v>#REF!</v>
      </c>
      <c r="C97" s="91" t="e">
        <f>'Tab1'!#REF!</f>
        <v>#REF!</v>
      </c>
      <c r="D97" s="91" t="e">
        <f>'Tab1'!#REF!</f>
        <v>#REF!</v>
      </c>
      <c r="E97" s="91" t="e">
        <f>IF('Tab1'!#REF!&lt;0,"",'Tab1'!#REF!)</f>
        <v>#REF!</v>
      </c>
      <c r="F97" s="6" t="e">
        <f>'Tab1'!#REF!</f>
        <v>#REF!</v>
      </c>
      <c r="G97" s="91" t="e">
        <f>1/'Tab1'!#REF!</f>
        <v>#REF!</v>
      </c>
      <c r="H97" s="91" t="e">
        <f>IF(G97="","",'Tab1'!#REF!)</f>
        <v>#REF!</v>
      </c>
      <c r="I97" s="91" t="e">
        <f>IF(H97="","",'Tab1'!#REF!)</f>
        <v>#REF!</v>
      </c>
      <c r="J97" s="91" t="e">
        <f>IF(I97="","",'Tab1'!#REF!)</f>
        <v>#REF!</v>
      </c>
      <c r="K97" s="91" t="e">
        <f>IF(J97="","",'Tab1'!#REF!)</f>
        <v>#REF!</v>
      </c>
      <c r="L97" s="55"/>
      <c r="M97" s="55"/>
      <c r="N97" s="55"/>
      <c r="O97" s="7"/>
      <c r="P97" s="7"/>
      <c r="Q97" s="7"/>
      <c r="R97" s="7"/>
      <c r="S97" s="7"/>
      <c r="T97" s="7"/>
      <c r="U97" s="7"/>
      <c r="V97" s="5"/>
      <c r="W97" s="98"/>
      <c r="X97" s="98"/>
      <c r="Y97" s="98"/>
      <c r="Z97" s="98"/>
    </row>
    <row r="98" spans="1:26" ht="14.25" customHeight="1" x14ac:dyDescent="0.15">
      <c r="A98" s="344" t="e">
        <f>'Tab1'!#REF!</f>
        <v>#REF!</v>
      </c>
      <c r="B98" s="91" t="e">
        <f>IF('Tab1'!#REF!&lt;&gt;"",'Tab1'!#REF!,"")</f>
        <v>#REF!</v>
      </c>
      <c r="C98" s="91" t="e">
        <f>'Tab1'!#REF!</f>
        <v>#REF!</v>
      </c>
      <c r="D98" s="91" t="e">
        <f>'Tab1'!#REF!</f>
        <v>#REF!</v>
      </c>
      <c r="E98" s="91" t="e">
        <f>IF('Tab1'!#REF!&lt;0,"",'Tab1'!#REF!)</f>
        <v>#REF!</v>
      </c>
      <c r="F98" s="6" t="e">
        <f>'Tab1'!#REF!</f>
        <v>#REF!</v>
      </c>
      <c r="G98" s="91" t="e">
        <f>1/'Tab1'!#REF!</f>
        <v>#REF!</v>
      </c>
      <c r="H98" s="91" t="e">
        <f>IF(G98="","",'Tab1'!#REF!)</f>
        <v>#REF!</v>
      </c>
      <c r="I98" s="91" t="e">
        <f>IF(H98="","",'Tab1'!#REF!)</f>
        <v>#REF!</v>
      </c>
      <c r="J98" s="91" t="e">
        <f>IF(I98="","",'Tab1'!#REF!)</f>
        <v>#REF!</v>
      </c>
      <c r="K98" s="91" t="e">
        <f>IF(J98="","",'Tab1'!#REF!)</f>
        <v>#REF!</v>
      </c>
      <c r="L98" s="55"/>
      <c r="M98" s="55"/>
      <c r="N98" s="55"/>
      <c r="O98" s="7"/>
      <c r="P98" s="7"/>
      <c r="Q98" s="7"/>
      <c r="R98" s="7"/>
      <c r="S98" s="7"/>
      <c r="T98" s="7"/>
      <c r="U98" s="7"/>
      <c r="V98" s="5"/>
      <c r="W98" s="98"/>
      <c r="X98" s="98"/>
      <c r="Y98" s="98"/>
      <c r="Z98" s="98"/>
    </row>
    <row r="99" spans="1:26" ht="14.25" customHeight="1" x14ac:dyDescent="0.15">
      <c r="A99" s="344" t="e">
        <f>'Tab1'!#REF!</f>
        <v>#REF!</v>
      </c>
      <c r="B99" s="91" t="e">
        <f>IF('Tab1'!#REF!&lt;&gt;"",'Tab1'!#REF!,"")</f>
        <v>#REF!</v>
      </c>
      <c r="C99" s="91" t="e">
        <f>'Tab1'!#REF!</f>
        <v>#REF!</v>
      </c>
      <c r="D99" s="91" t="e">
        <f>'Tab1'!#REF!</f>
        <v>#REF!</v>
      </c>
      <c r="E99" s="91" t="e">
        <f>IF('Tab1'!#REF!&lt;0,"",'Tab1'!#REF!)</f>
        <v>#REF!</v>
      </c>
      <c r="F99" s="6" t="e">
        <f>'Tab1'!#REF!</f>
        <v>#REF!</v>
      </c>
      <c r="G99" s="91" t="e">
        <f>1/'Tab1'!#REF!</f>
        <v>#REF!</v>
      </c>
      <c r="H99" s="91" t="e">
        <f>IF(G99="","",'Tab1'!#REF!)</f>
        <v>#REF!</v>
      </c>
      <c r="I99" s="91" t="e">
        <f>IF(H99="","",'Tab1'!#REF!)</f>
        <v>#REF!</v>
      </c>
      <c r="J99" s="91" t="e">
        <f>IF(I99="","",'Tab1'!#REF!)</f>
        <v>#REF!</v>
      </c>
      <c r="K99" s="91" t="e">
        <f>IF(J99="","",'Tab1'!#REF!)</f>
        <v>#REF!</v>
      </c>
      <c r="L99" s="55"/>
      <c r="M99" s="55"/>
      <c r="N99" s="55"/>
      <c r="O99" s="7"/>
      <c r="P99" s="7"/>
      <c r="Q99" s="7"/>
      <c r="R99" s="7"/>
      <c r="S99" s="7"/>
      <c r="T99" s="7"/>
      <c r="U99" s="7"/>
      <c r="V99" s="5"/>
      <c r="W99" s="98"/>
      <c r="X99" s="98"/>
      <c r="Y99" s="98"/>
      <c r="Z99" s="98"/>
    </row>
    <row r="100" spans="1:26" ht="14.25" customHeight="1" x14ac:dyDescent="0.15">
      <c r="A100" s="344" t="e">
        <f>'Tab1'!#REF!</f>
        <v>#REF!</v>
      </c>
      <c r="B100" s="91" t="e">
        <f>IF('Tab1'!#REF!&lt;&gt;"",'Tab1'!#REF!,"")</f>
        <v>#REF!</v>
      </c>
      <c r="C100" s="91" t="e">
        <f>'Tab1'!#REF!</f>
        <v>#REF!</v>
      </c>
      <c r="D100" s="91" t="e">
        <f>'Tab1'!#REF!</f>
        <v>#REF!</v>
      </c>
      <c r="E100" s="91" t="e">
        <f>IF('Tab1'!#REF!&lt;0,"",'Tab1'!#REF!)</f>
        <v>#REF!</v>
      </c>
      <c r="F100" s="6" t="e">
        <f>'Tab1'!#REF!</f>
        <v>#REF!</v>
      </c>
      <c r="G100" s="91" t="e">
        <f>1/'Tab1'!#REF!</f>
        <v>#REF!</v>
      </c>
      <c r="H100" s="91" t="e">
        <f>IF(G100="","",'Tab1'!#REF!)</f>
        <v>#REF!</v>
      </c>
      <c r="I100" s="91" t="e">
        <f>IF(H100="","",'Tab1'!#REF!)</f>
        <v>#REF!</v>
      </c>
      <c r="J100" s="91" t="e">
        <f>IF(I100="","",'Tab1'!#REF!)</f>
        <v>#REF!</v>
      </c>
      <c r="K100" s="91" t="e">
        <f>IF(J100="","",'Tab1'!#REF!)</f>
        <v>#REF!</v>
      </c>
      <c r="L100" s="55"/>
      <c r="M100" s="55"/>
      <c r="N100" s="55"/>
      <c r="O100" s="7"/>
      <c r="P100" s="7"/>
      <c r="Q100" s="7"/>
      <c r="R100" s="7"/>
      <c r="S100" s="7"/>
      <c r="T100" s="7"/>
      <c r="U100" s="7"/>
      <c r="V100" s="5"/>
      <c r="W100" s="98"/>
      <c r="X100" s="98"/>
      <c r="Y100" s="98"/>
      <c r="Z100" s="98"/>
    </row>
    <row r="101" spans="1:26" ht="14.25" customHeight="1" x14ac:dyDescent="0.15">
      <c r="A101" s="344" t="e">
        <f>'Tab1'!#REF!</f>
        <v>#REF!</v>
      </c>
      <c r="B101" s="91" t="e">
        <f>IF('Tab1'!#REF!&lt;&gt;"",'Tab1'!#REF!,"")</f>
        <v>#REF!</v>
      </c>
      <c r="C101" s="91" t="e">
        <f>'Tab1'!#REF!</f>
        <v>#REF!</v>
      </c>
      <c r="D101" s="91" t="e">
        <f>'Tab1'!#REF!</f>
        <v>#REF!</v>
      </c>
      <c r="E101" s="91" t="e">
        <f>IF('Tab1'!#REF!&lt;0,"",'Tab1'!#REF!)</f>
        <v>#REF!</v>
      </c>
      <c r="F101" s="6" t="e">
        <f>'Tab1'!#REF!</f>
        <v>#REF!</v>
      </c>
      <c r="G101" s="91" t="e">
        <f>1/'Tab1'!#REF!</f>
        <v>#REF!</v>
      </c>
      <c r="H101" s="91" t="e">
        <f>IF(G101="","",'Tab1'!#REF!)</f>
        <v>#REF!</v>
      </c>
      <c r="I101" s="91" t="e">
        <f>IF(H101="","",'Tab1'!#REF!)</f>
        <v>#REF!</v>
      </c>
      <c r="J101" s="91" t="e">
        <f>IF(I101="","",'Tab1'!#REF!)</f>
        <v>#REF!</v>
      </c>
      <c r="K101" s="91" t="e">
        <f>IF(J101="","",'Tab1'!#REF!)</f>
        <v>#REF!</v>
      </c>
      <c r="L101" s="55"/>
      <c r="M101" s="55"/>
      <c r="N101" s="55"/>
      <c r="O101" s="7"/>
      <c r="P101" s="7"/>
      <c r="Q101" s="7"/>
      <c r="R101" s="7"/>
      <c r="S101" s="7"/>
      <c r="T101" s="7"/>
      <c r="U101" s="7"/>
      <c r="V101" s="5"/>
      <c r="W101" s="98"/>
      <c r="X101" s="98"/>
      <c r="Y101" s="98"/>
      <c r="Z101" s="98"/>
    </row>
    <row r="102" spans="1:26" ht="14.25" customHeight="1" x14ac:dyDescent="0.15">
      <c r="A102" s="344" t="e">
        <f>'Tab1'!#REF!</f>
        <v>#REF!</v>
      </c>
      <c r="B102" s="91" t="e">
        <f>IF('Tab1'!#REF!&lt;&gt;"",'Tab1'!#REF!,"")</f>
        <v>#REF!</v>
      </c>
      <c r="C102" s="91" t="e">
        <f>'Tab1'!#REF!</f>
        <v>#REF!</v>
      </c>
      <c r="D102" s="91" t="e">
        <f>'Tab1'!#REF!</f>
        <v>#REF!</v>
      </c>
      <c r="E102" s="91" t="e">
        <f>IF('Tab1'!#REF!&lt;0,"",'Tab1'!#REF!)</f>
        <v>#REF!</v>
      </c>
      <c r="F102" s="6" t="e">
        <f>'Tab1'!#REF!</f>
        <v>#REF!</v>
      </c>
      <c r="G102" s="91" t="e">
        <f>1/'Tab1'!#REF!</f>
        <v>#REF!</v>
      </c>
      <c r="H102" s="91" t="e">
        <f>IF(G102="","",'Tab1'!#REF!)</f>
        <v>#REF!</v>
      </c>
      <c r="I102" s="91" t="e">
        <f>IF(H102="","",'Tab1'!#REF!)</f>
        <v>#REF!</v>
      </c>
      <c r="J102" s="91" t="e">
        <f>IF(I102="","",'Tab1'!#REF!)</f>
        <v>#REF!</v>
      </c>
      <c r="K102" s="91" t="e">
        <f>IF(J102="","",'Tab1'!#REF!)</f>
        <v>#REF!</v>
      </c>
      <c r="L102" s="55"/>
      <c r="M102" s="55"/>
      <c r="N102" s="55"/>
      <c r="O102" s="7"/>
      <c r="P102" s="7"/>
      <c r="Q102" s="7"/>
      <c r="R102" s="7"/>
      <c r="S102" s="7"/>
      <c r="T102" s="7"/>
      <c r="U102" s="7"/>
      <c r="V102" s="5"/>
      <c r="W102" s="98"/>
      <c r="X102" s="98"/>
      <c r="Y102" s="98"/>
      <c r="Z102" s="98"/>
    </row>
    <row r="103" spans="1:26" ht="14.25" customHeight="1" x14ac:dyDescent="0.15">
      <c r="A103" s="344" t="e">
        <f>'Tab1'!#REF!</f>
        <v>#REF!</v>
      </c>
      <c r="B103" s="91" t="e">
        <f>IF('Tab1'!#REF!&lt;&gt;"",'Tab1'!#REF!,"")</f>
        <v>#REF!</v>
      </c>
      <c r="C103" s="91" t="e">
        <f>'Tab1'!#REF!</f>
        <v>#REF!</v>
      </c>
      <c r="D103" s="91" t="e">
        <f>'Tab1'!#REF!</f>
        <v>#REF!</v>
      </c>
      <c r="E103" s="91" t="e">
        <f>IF('Tab1'!#REF!&lt;0,"",'Tab1'!#REF!)</f>
        <v>#REF!</v>
      </c>
      <c r="F103" s="6" t="e">
        <f>'Tab1'!#REF!</f>
        <v>#REF!</v>
      </c>
      <c r="G103" s="91" t="e">
        <f>1/'Tab1'!#REF!</f>
        <v>#REF!</v>
      </c>
      <c r="H103" s="91" t="e">
        <f>IF(G103="","",'Tab1'!#REF!)</f>
        <v>#REF!</v>
      </c>
      <c r="I103" s="91" t="e">
        <f>IF(H103="","",'Tab1'!#REF!)</f>
        <v>#REF!</v>
      </c>
      <c r="J103" s="91" t="e">
        <f>IF(I103="","",'Tab1'!#REF!)</f>
        <v>#REF!</v>
      </c>
      <c r="K103" s="91" t="e">
        <f>IF(J103="","",'Tab1'!#REF!)</f>
        <v>#REF!</v>
      </c>
      <c r="L103" s="55"/>
      <c r="M103" s="55"/>
      <c r="N103" s="55"/>
      <c r="O103" s="7"/>
      <c r="P103" s="7"/>
      <c r="Q103" s="7"/>
      <c r="R103" s="7"/>
      <c r="S103" s="7"/>
      <c r="T103" s="7"/>
      <c r="U103" s="7"/>
      <c r="V103" s="5"/>
      <c r="W103" s="98"/>
      <c r="X103" s="98"/>
      <c r="Y103" s="98"/>
      <c r="Z103" s="98"/>
    </row>
    <row r="104" spans="1:26" ht="14.25" customHeight="1" x14ac:dyDescent="0.15">
      <c r="A104" s="344" t="e">
        <f>'Tab1'!#REF!</f>
        <v>#REF!</v>
      </c>
      <c r="B104" s="91" t="e">
        <f>IF('Tab1'!#REF!&lt;&gt;"",'Tab1'!#REF!,"")</f>
        <v>#REF!</v>
      </c>
      <c r="C104" s="91" t="e">
        <f>'Tab1'!#REF!</f>
        <v>#REF!</v>
      </c>
      <c r="D104" s="91" t="e">
        <f>'Tab1'!#REF!</f>
        <v>#REF!</v>
      </c>
      <c r="E104" s="91" t="e">
        <f>IF('Tab1'!#REF!&lt;0,"",'Tab1'!#REF!)</f>
        <v>#REF!</v>
      </c>
      <c r="F104" s="6" t="e">
        <f>'Tab1'!#REF!</f>
        <v>#REF!</v>
      </c>
      <c r="G104" s="91" t="e">
        <f>1/'Tab1'!#REF!</f>
        <v>#REF!</v>
      </c>
      <c r="H104" s="91" t="e">
        <f>IF(G104="","",'Tab1'!#REF!)</f>
        <v>#REF!</v>
      </c>
      <c r="I104" s="91" t="e">
        <f>IF(H104="","",'Tab1'!#REF!)</f>
        <v>#REF!</v>
      </c>
      <c r="J104" s="91" t="e">
        <f>IF(I104="","",'Tab1'!#REF!)</f>
        <v>#REF!</v>
      </c>
      <c r="K104" s="91" t="e">
        <f>IF(J104="","",'Tab1'!#REF!)</f>
        <v>#REF!</v>
      </c>
      <c r="L104" s="55"/>
      <c r="M104" s="55"/>
      <c r="N104" s="55"/>
      <c r="O104" s="7"/>
      <c r="P104" s="7"/>
      <c r="Q104" s="7"/>
      <c r="R104" s="7"/>
      <c r="S104" s="7"/>
      <c r="T104" s="7"/>
      <c r="U104" s="7"/>
      <c r="V104" s="5"/>
      <c r="W104" s="98"/>
      <c r="X104" s="98"/>
      <c r="Y104" s="98"/>
      <c r="Z104" s="98"/>
    </row>
    <row r="105" spans="1:26" ht="14.25" customHeight="1" x14ac:dyDescent="0.15">
      <c r="A105" s="344" t="e">
        <f>'Tab1'!#REF!</f>
        <v>#REF!</v>
      </c>
      <c r="B105" s="91" t="e">
        <f>IF('Tab1'!#REF!&lt;&gt;"",'Tab1'!#REF!,"")</f>
        <v>#REF!</v>
      </c>
      <c r="C105" s="91" t="e">
        <f>'Tab1'!#REF!</f>
        <v>#REF!</v>
      </c>
      <c r="D105" s="91" t="e">
        <f>'Tab1'!#REF!</f>
        <v>#REF!</v>
      </c>
      <c r="E105" s="91" t="e">
        <f>IF('Tab1'!#REF!&lt;0,"",'Tab1'!#REF!)</f>
        <v>#REF!</v>
      </c>
      <c r="F105" s="6" t="e">
        <f>'Tab1'!#REF!</f>
        <v>#REF!</v>
      </c>
      <c r="G105" s="91" t="e">
        <f>1/'Tab1'!#REF!</f>
        <v>#REF!</v>
      </c>
      <c r="H105" s="91" t="e">
        <f>IF(G105="","",'Tab1'!#REF!)</f>
        <v>#REF!</v>
      </c>
      <c r="I105" s="91" t="e">
        <f>IF(H105="","",'Tab1'!#REF!)</f>
        <v>#REF!</v>
      </c>
      <c r="J105" s="91" t="e">
        <f>IF(I105="","",'Tab1'!#REF!)</f>
        <v>#REF!</v>
      </c>
      <c r="K105" s="91" t="e">
        <f>IF(J105="","",'Tab1'!#REF!)</f>
        <v>#REF!</v>
      </c>
      <c r="L105" s="55"/>
      <c r="M105" s="55"/>
      <c r="N105" s="55"/>
      <c r="O105" s="7"/>
      <c r="P105" s="7"/>
      <c r="Q105" s="7"/>
      <c r="R105" s="7"/>
      <c r="S105" s="7"/>
      <c r="T105" s="7"/>
      <c r="U105" s="7"/>
      <c r="V105" s="5"/>
      <c r="W105" s="98"/>
      <c r="X105" s="98"/>
      <c r="Y105" s="98"/>
      <c r="Z105" s="98"/>
    </row>
    <row r="106" spans="1:26" ht="14.25" customHeight="1" x14ac:dyDescent="0.15">
      <c r="A106" s="344" t="e">
        <f>'Tab1'!#REF!</f>
        <v>#REF!</v>
      </c>
      <c r="B106" s="91" t="e">
        <f>IF('Tab1'!#REF!&lt;&gt;"",'Tab1'!#REF!,"")</f>
        <v>#REF!</v>
      </c>
      <c r="C106" s="91" t="e">
        <f>'Tab1'!#REF!</f>
        <v>#REF!</v>
      </c>
      <c r="D106" s="91" t="e">
        <f>'Tab1'!#REF!</f>
        <v>#REF!</v>
      </c>
      <c r="E106" s="91" t="e">
        <f>IF('Tab1'!#REF!&lt;0,"",'Tab1'!#REF!)</f>
        <v>#REF!</v>
      </c>
      <c r="F106" s="6" t="e">
        <f>'Tab1'!#REF!</f>
        <v>#REF!</v>
      </c>
      <c r="G106" s="91" t="e">
        <f>1/'Tab1'!#REF!</f>
        <v>#REF!</v>
      </c>
      <c r="H106" s="91" t="e">
        <f>IF(G106="","",'Tab1'!#REF!)</f>
        <v>#REF!</v>
      </c>
      <c r="I106" s="91" t="e">
        <f>IF(H106="","",'Tab1'!#REF!)</f>
        <v>#REF!</v>
      </c>
      <c r="J106" s="91" t="e">
        <f>IF(I106="","",'Tab1'!#REF!)</f>
        <v>#REF!</v>
      </c>
      <c r="K106" s="91" t="e">
        <f>IF(J106="","",'Tab1'!#REF!)</f>
        <v>#REF!</v>
      </c>
      <c r="L106" s="55"/>
      <c r="M106" s="55"/>
      <c r="N106" s="55"/>
      <c r="O106" s="7"/>
      <c r="P106" s="7"/>
      <c r="Q106" s="7"/>
      <c r="R106" s="7"/>
      <c r="S106" s="7"/>
      <c r="T106" s="7"/>
      <c r="U106" s="7"/>
      <c r="V106" s="5"/>
      <c r="W106" s="98"/>
      <c r="X106" s="98"/>
      <c r="Y106" s="98"/>
      <c r="Z106" s="98"/>
    </row>
    <row r="107" spans="1:26" ht="14.25" customHeight="1" x14ac:dyDescent="0.15">
      <c r="A107" s="344" t="e">
        <f>'Tab1'!#REF!</f>
        <v>#REF!</v>
      </c>
      <c r="B107" s="91" t="e">
        <f>IF('Tab1'!#REF!&lt;&gt;"",'Tab1'!#REF!,"")</f>
        <v>#REF!</v>
      </c>
      <c r="C107" s="91" t="e">
        <f>'Tab1'!#REF!</f>
        <v>#REF!</v>
      </c>
      <c r="D107" s="91" t="e">
        <f>'Tab1'!#REF!</f>
        <v>#REF!</v>
      </c>
      <c r="E107" s="91" t="e">
        <f>IF('Tab1'!#REF!&lt;0,"",'Tab1'!#REF!)</f>
        <v>#REF!</v>
      </c>
      <c r="F107" s="6" t="e">
        <f>'Tab1'!#REF!</f>
        <v>#REF!</v>
      </c>
      <c r="G107" s="91" t="e">
        <f>1/'Tab1'!#REF!</f>
        <v>#REF!</v>
      </c>
      <c r="H107" s="91" t="e">
        <f>IF(G107="","",'Tab1'!#REF!)</f>
        <v>#REF!</v>
      </c>
      <c r="I107" s="91" t="e">
        <f>IF(H107="","",'Tab1'!#REF!)</f>
        <v>#REF!</v>
      </c>
      <c r="J107" s="91" t="e">
        <f>IF(I107="","",'Tab1'!#REF!)</f>
        <v>#REF!</v>
      </c>
      <c r="K107" s="91" t="e">
        <f>IF(J107="","",'Tab1'!#REF!)</f>
        <v>#REF!</v>
      </c>
      <c r="L107" s="55"/>
      <c r="M107" s="55"/>
      <c r="N107" s="55"/>
      <c r="O107" s="7"/>
      <c r="P107" s="7"/>
      <c r="Q107" s="7"/>
      <c r="R107" s="7"/>
      <c r="S107" s="7"/>
      <c r="T107" s="7"/>
      <c r="U107" s="7"/>
      <c r="V107" s="5"/>
      <c r="W107" s="98"/>
      <c r="X107" s="98"/>
      <c r="Y107" s="98"/>
      <c r="Z107" s="98"/>
    </row>
    <row r="108" spans="1:26" ht="14.25" customHeight="1" x14ac:dyDescent="0.15">
      <c r="A108" s="344" t="e">
        <f>'Tab1'!#REF!</f>
        <v>#REF!</v>
      </c>
      <c r="B108" s="91" t="e">
        <f>IF('Tab1'!#REF!&lt;&gt;"",'Tab1'!#REF!,"")</f>
        <v>#REF!</v>
      </c>
      <c r="C108" s="91" t="e">
        <f>'Tab1'!#REF!</f>
        <v>#REF!</v>
      </c>
      <c r="D108" s="91" t="e">
        <f>'Tab1'!#REF!</f>
        <v>#REF!</v>
      </c>
      <c r="E108" s="91" t="e">
        <f>IF('Tab1'!#REF!&lt;0,"",'Tab1'!#REF!)</f>
        <v>#REF!</v>
      </c>
      <c r="F108" s="6" t="e">
        <f>'Tab1'!#REF!</f>
        <v>#REF!</v>
      </c>
      <c r="G108" s="91" t="e">
        <f>1/'Tab1'!#REF!</f>
        <v>#REF!</v>
      </c>
      <c r="H108" s="91" t="e">
        <f>IF(G108="","",'Tab1'!#REF!)</f>
        <v>#REF!</v>
      </c>
      <c r="I108" s="91" t="e">
        <f>IF(H108="","",'Tab1'!#REF!)</f>
        <v>#REF!</v>
      </c>
      <c r="J108" s="91" t="e">
        <f>IF(I108="","",'Tab1'!#REF!)</f>
        <v>#REF!</v>
      </c>
      <c r="K108" s="91" t="e">
        <f>IF(J108="","",'Tab1'!#REF!)</f>
        <v>#REF!</v>
      </c>
      <c r="L108" s="55"/>
      <c r="M108" s="55"/>
      <c r="N108" s="55"/>
      <c r="O108" s="7"/>
      <c r="P108" s="7"/>
      <c r="Q108" s="7"/>
      <c r="R108" s="7"/>
      <c r="S108" s="7"/>
      <c r="T108" s="7"/>
      <c r="U108" s="7"/>
      <c r="V108" s="5"/>
      <c r="W108" s="98"/>
      <c r="X108" s="98"/>
      <c r="Y108" s="98"/>
      <c r="Z108" s="98"/>
    </row>
    <row r="109" spans="1:26" ht="14.25" customHeight="1" x14ac:dyDescent="0.15">
      <c r="A109" s="344" t="e">
        <f>'Tab1'!#REF!</f>
        <v>#REF!</v>
      </c>
      <c r="B109" s="91" t="e">
        <f>IF('Tab1'!#REF!&lt;&gt;"",'Tab1'!#REF!,"")</f>
        <v>#REF!</v>
      </c>
      <c r="C109" s="91" t="e">
        <f>'Tab1'!#REF!</f>
        <v>#REF!</v>
      </c>
      <c r="D109" s="91" t="e">
        <f>'Tab1'!#REF!</f>
        <v>#REF!</v>
      </c>
      <c r="E109" s="91" t="e">
        <f>IF('Tab1'!#REF!&lt;0,"",'Tab1'!#REF!)</f>
        <v>#REF!</v>
      </c>
      <c r="F109" s="6" t="e">
        <f>'Tab1'!#REF!</f>
        <v>#REF!</v>
      </c>
      <c r="G109" s="91" t="e">
        <f>1/'Tab1'!#REF!</f>
        <v>#REF!</v>
      </c>
      <c r="H109" s="91" t="e">
        <f>IF(G109="","",'Tab1'!#REF!)</f>
        <v>#REF!</v>
      </c>
      <c r="I109" s="91" t="e">
        <f>IF(H109="","",'Tab1'!#REF!)</f>
        <v>#REF!</v>
      </c>
      <c r="J109" s="91" t="e">
        <f>IF(I109="","",'Tab1'!#REF!)</f>
        <v>#REF!</v>
      </c>
      <c r="K109" s="91" t="e">
        <f>IF(J109="","",'Tab1'!#REF!)</f>
        <v>#REF!</v>
      </c>
      <c r="L109" s="55"/>
      <c r="M109" s="55"/>
      <c r="N109" s="55"/>
      <c r="O109" s="7"/>
      <c r="P109" s="7"/>
      <c r="Q109" s="7"/>
      <c r="R109" s="7"/>
      <c r="S109" s="7"/>
      <c r="T109" s="7"/>
      <c r="U109" s="7"/>
      <c r="V109" s="5"/>
      <c r="W109" s="98"/>
      <c r="X109" s="98"/>
      <c r="Y109" s="98"/>
      <c r="Z109" s="98"/>
    </row>
    <row r="110" spans="1:26" ht="14.25" customHeight="1" x14ac:dyDescent="0.15">
      <c r="A110" s="344" t="e">
        <f>'Tab1'!#REF!</f>
        <v>#REF!</v>
      </c>
      <c r="B110" s="91" t="e">
        <f>IF('Tab1'!#REF!&lt;&gt;"",'Tab1'!#REF!,"")</f>
        <v>#REF!</v>
      </c>
      <c r="C110" s="91" t="e">
        <f>'Tab1'!#REF!</f>
        <v>#REF!</v>
      </c>
      <c r="D110" s="91" t="e">
        <f>'Tab1'!#REF!</f>
        <v>#REF!</v>
      </c>
      <c r="E110" s="91" t="e">
        <f>IF('Tab1'!#REF!&lt;0,"",'Tab1'!#REF!)</f>
        <v>#REF!</v>
      </c>
      <c r="F110" s="6" t="e">
        <f>'Tab1'!#REF!</f>
        <v>#REF!</v>
      </c>
      <c r="G110" s="91" t="e">
        <f>1/'Tab1'!#REF!</f>
        <v>#REF!</v>
      </c>
      <c r="H110" s="91" t="e">
        <f>IF(G110="","",'Tab1'!#REF!)</f>
        <v>#REF!</v>
      </c>
      <c r="I110" s="91" t="e">
        <f>IF(H110="","",'Tab1'!#REF!)</f>
        <v>#REF!</v>
      </c>
      <c r="J110" s="91" t="e">
        <f>IF(I110="","",'Tab1'!#REF!)</f>
        <v>#REF!</v>
      </c>
      <c r="K110" s="91" t="e">
        <f>IF(J110="","",'Tab1'!#REF!)</f>
        <v>#REF!</v>
      </c>
      <c r="L110" s="55"/>
      <c r="M110" s="55"/>
      <c r="N110" s="55"/>
      <c r="O110" s="7"/>
      <c r="P110" s="7"/>
      <c r="Q110" s="7"/>
      <c r="R110" s="7"/>
      <c r="S110" s="7"/>
      <c r="T110" s="7"/>
      <c r="U110" s="7"/>
      <c r="V110" s="5"/>
      <c r="W110" s="98"/>
      <c r="X110" s="98"/>
      <c r="Y110" s="98"/>
      <c r="Z110" s="98"/>
    </row>
    <row r="111" spans="1:26" ht="14.25" customHeight="1" x14ac:dyDescent="0.15">
      <c r="A111" s="344" t="e">
        <f>'Tab1'!#REF!</f>
        <v>#REF!</v>
      </c>
      <c r="B111" s="91" t="e">
        <f>IF('Tab1'!#REF!&lt;&gt;"",'Tab1'!#REF!,"")</f>
        <v>#REF!</v>
      </c>
      <c r="C111" s="91" t="e">
        <f>'Tab1'!#REF!</f>
        <v>#REF!</v>
      </c>
      <c r="D111" s="91" t="e">
        <f>'Tab1'!#REF!</f>
        <v>#REF!</v>
      </c>
      <c r="E111" s="91" t="e">
        <f>IF('Tab1'!#REF!&lt;0,"",'Tab1'!#REF!)</f>
        <v>#REF!</v>
      </c>
      <c r="F111" s="6" t="e">
        <f>'Tab1'!#REF!</f>
        <v>#REF!</v>
      </c>
      <c r="G111" s="91" t="e">
        <f>1/'Tab1'!#REF!</f>
        <v>#REF!</v>
      </c>
      <c r="H111" s="91" t="e">
        <f>IF(G111="","",'Tab1'!#REF!)</f>
        <v>#REF!</v>
      </c>
      <c r="I111" s="91" t="e">
        <f>IF(H111="","",'Tab1'!#REF!)</f>
        <v>#REF!</v>
      </c>
      <c r="J111" s="91" t="e">
        <f>IF(I111="","",'Tab1'!#REF!)</f>
        <v>#REF!</v>
      </c>
      <c r="K111" s="91" t="e">
        <f>IF(J111="","",'Tab1'!#REF!)</f>
        <v>#REF!</v>
      </c>
      <c r="L111" s="55"/>
      <c r="M111" s="55"/>
      <c r="N111" s="55"/>
      <c r="O111" s="7"/>
      <c r="P111" s="7"/>
      <c r="Q111" s="7"/>
      <c r="R111" s="7"/>
      <c r="S111" s="7"/>
      <c r="T111" s="7"/>
      <c r="U111" s="7"/>
      <c r="V111" s="5"/>
      <c r="W111" s="98"/>
      <c r="X111" s="98"/>
      <c r="Y111" s="98"/>
      <c r="Z111" s="98"/>
    </row>
    <row r="112" spans="1:26" ht="14.25" customHeight="1" x14ac:dyDescent="0.15">
      <c r="A112" s="344" t="e">
        <f>'Tab1'!#REF!</f>
        <v>#REF!</v>
      </c>
      <c r="B112" s="91" t="e">
        <f>IF('Tab1'!#REF!&lt;&gt;"",'Tab1'!#REF!,"")</f>
        <v>#REF!</v>
      </c>
      <c r="C112" s="91" t="e">
        <f>'Tab1'!#REF!</f>
        <v>#REF!</v>
      </c>
      <c r="D112" s="91" t="e">
        <f>'Tab1'!#REF!</f>
        <v>#REF!</v>
      </c>
      <c r="E112" s="91" t="e">
        <f>IF('Tab1'!#REF!&lt;0,"",'Tab1'!#REF!)</f>
        <v>#REF!</v>
      </c>
      <c r="F112" s="6" t="e">
        <f>'Tab1'!#REF!</f>
        <v>#REF!</v>
      </c>
      <c r="G112" s="91" t="e">
        <f>1/'Tab1'!#REF!</f>
        <v>#REF!</v>
      </c>
      <c r="H112" s="91" t="e">
        <f>IF(G112="","",'Tab1'!#REF!)</f>
        <v>#REF!</v>
      </c>
      <c r="I112" s="91" t="e">
        <f>IF(H112="","",'Tab1'!#REF!)</f>
        <v>#REF!</v>
      </c>
      <c r="J112" s="91" t="e">
        <f>IF(I112="","",'Tab1'!#REF!)</f>
        <v>#REF!</v>
      </c>
      <c r="K112" s="91" t="e">
        <f>IF(J112="","",'Tab1'!#REF!)</f>
        <v>#REF!</v>
      </c>
      <c r="L112" s="55"/>
      <c r="M112" s="55"/>
      <c r="N112" s="55"/>
      <c r="O112" s="7"/>
      <c r="P112" s="7"/>
      <c r="Q112" s="7"/>
      <c r="R112" s="7"/>
      <c r="S112" s="7"/>
      <c r="T112" s="7"/>
      <c r="U112" s="7"/>
      <c r="V112" s="5"/>
      <c r="W112" s="98"/>
      <c r="X112" s="98"/>
      <c r="Y112" s="98"/>
      <c r="Z112" s="98"/>
    </row>
    <row r="113" spans="1:26" ht="14.25" customHeight="1" x14ac:dyDescent="0.15">
      <c r="A113" s="344" t="e">
        <f>'Tab1'!#REF!</f>
        <v>#REF!</v>
      </c>
      <c r="B113" s="91" t="e">
        <f>IF('Tab1'!#REF!&lt;&gt;"",'Tab1'!#REF!,"")</f>
        <v>#REF!</v>
      </c>
      <c r="C113" s="91" t="e">
        <f>'Tab1'!#REF!</f>
        <v>#REF!</v>
      </c>
      <c r="D113" s="91" t="e">
        <f>'Tab1'!#REF!</f>
        <v>#REF!</v>
      </c>
      <c r="E113" s="91" t="e">
        <f>IF('Tab1'!#REF!&lt;0,"",'Tab1'!#REF!)</f>
        <v>#REF!</v>
      </c>
      <c r="F113" s="6" t="e">
        <f>'Tab1'!#REF!</f>
        <v>#REF!</v>
      </c>
      <c r="G113" s="91" t="e">
        <f>1/'Tab1'!#REF!</f>
        <v>#REF!</v>
      </c>
      <c r="H113" s="91" t="e">
        <f>IF(G113="","",'Tab1'!#REF!)</f>
        <v>#REF!</v>
      </c>
      <c r="I113" s="91" t="e">
        <f>IF(H113="","",'Tab1'!#REF!)</f>
        <v>#REF!</v>
      </c>
      <c r="J113" s="91" t="e">
        <f>IF(I113="","",'Tab1'!#REF!)</f>
        <v>#REF!</v>
      </c>
      <c r="K113" s="91" t="e">
        <f>IF(J113="","",'Tab1'!#REF!)</f>
        <v>#REF!</v>
      </c>
      <c r="L113" s="55"/>
      <c r="M113" s="55"/>
      <c r="N113" s="55"/>
      <c r="O113" s="7"/>
      <c r="P113" s="7"/>
      <c r="Q113" s="7"/>
      <c r="R113" s="7"/>
      <c r="S113" s="7"/>
      <c r="T113" s="7"/>
      <c r="U113" s="7"/>
      <c r="V113" s="5"/>
      <c r="W113" s="98"/>
      <c r="X113" s="98"/>
      <c r="Y113" s="98"/>
      <c r="Z113" s="98"/>
    </row>
    <row r="114" spans="1:26" ht="14.25" customHeight="1" x14ac:dyDescent="0.15">
      <c r="A114" s="344" t="e">
        <f>'Tab1'!#REF!</f>
        <v>#REF!</v>
      </c>
      <c r="B114" s="91" t="e">
        <f>IF('Tab1'!#REF!&lt;&gt;"",'Tab1'!#REF!,"")</f>
        <v>#REF!</v>
      </c>
      <c r="C114" s="91" t="e">
        <f>'Tab1'!#REF!</f>
        <v>#REF!</v>
      </c>
      <c r="D114" s="91" t="e">
        <f>'Tab1'!#REF!</f>
        <v>#REF!</v>
      </c>
      <c r="E114" s="91" t="e">
        <f>IF('Tab1'!#REF!&lt;0,"",'Tab1'!#REF!)</f>
        <v>#REF!</v>
      </c>
      <c r="F114" s="6" t="e">
        <f>'Tab1'!#REF!</f>
        <v>#REF!</v>
      </c>
      <c r="G114" s="91" t="e">
        <f>1/'Tab1'!#REF!</f>
        <v>#REF!</v>
      </c>
      <c r="H114" s="91" t="e">
        <f>IF(G114="","",'Tab1'!#REF!)</f>
        <v>#REF!</v>
      </c>
      <c r="I114" s="91" t="e">
        <f>IF(H114="","",'Tab1'!#REF!)</f>
        <v>#REF!</v>
      </c>
      <c r="J114" s="91" t="e">
        <f>IF(I114="","",'Tab1'!#REF!)</f>
        <v>#REF!</v>
      </c>
      <c r="K114" s="91" t="e">
        <f>IF(J114="","",'Tab1'!#REF!)</f>
        <v>#REF!</v>
      </c>
      <c r="L114" s="55"/>
      <c r="M114" s="55"/>
      <c r="N114" s="55"/>
      <c r="O114" s="7"/>
      <c r="P114" s="7"/>
      <c r="Q114" s="7"/>
      <c r="R114" s="7"/>
      <c r="S114" s="7"/>
      <c r="T114" s="7"/>
      <c r="U114" s="7"/>
      <c r="V114" s="5"/>
      <c r="W114" s="98"/>
      <c r="X114" s="98"/>
      <c r="Y114" s="98"/>
      <c r="Z114" s="98"/>
    </row>
    <row r="115" spans="1:26" ht="14.25" customHeight="1" x14ac:dyDescent="0.15">
      <c r="A115" s="344" t="e">
        <f>'Tab1'!#REF!</f>
        <v>#REF!</v>
      </c>
      <c r="B115" s="91" t="e">
        <f>IF('Tab1'!#REF!&lt;&gt;"",'Tab1'!#REF!,"")</f>
        <v>#REF!</v>
      </c>
      <c r="C115" s="91" t="e">
        <f>'Tab1'!#REF!</f>
        <v>#REF!</v>
      </c>
      <c r="D115" s="91" t="e">
        <f>'Tab1'!#REF!</f>
        <v>#REF!</v>
      </c>
      <c r="E115" s="91" t="e">
        <f>IF('Tab1'!#REF!&lt;0,"",'Tab1'!#REF!)</f>
        <v>#REF!</v>
      </c>
      <c r="F115" s="6" t="e">
        <f>'Tab1'!#REF!</f>
        <v>#REF!</v>
      </c>
      <c r="G115" s="91" t="e">
        <f>1/'Tab1'!#REF!</f>
        <v>#REF!</v>
      </c>
      <c r="H115" s="91" t="e">
        <f>IF(G115="","",'Tab1'!#REF!)</f>
        <v>#REF!</v>
      </c>
      <c r="I115" s="91" t="e">
        <f>IF(H115="","",'Tab1'!#REF!)</f>
        <v>#REF!</v>
      </c>
      <c r="J115" s="91" t="e">
        <f>IF(I115="","",'Tab1'!#REF!)</f>
        <v>#REF!</v>
      </c>
      <c r="K115" s="91" t="e">
        <f>IF(J115="","",'Tab1'!#REF!)</f>
        <v>#REF!</v>
      </c>
      <c r="L115" s="55"/>
      <c r="M115" s="55"/>
      <c r="N115" s="55"/>
      <c r="O115" s="7"/>
      <c r="P115" s="7"/>
      <c r="Q115" s="7"/>
      <c r="R115" s="7"/>
      <c r="S115" s="7"/>
      <c r="T115" s="7"/>
      <c r="U115" s="7"/>
      <c r="V115" s="5"/>
      <c r="W115" s="98"/>
      <c r="X115" s="98"/>
      <c r="Y115" s="98"/>
      <c r="Z115" s="98"/>
    </row>
    <row r="116" spans="1:26" ht="14.25" customHeight="1" x14ac:dyDescent="0.15">
      <c r="A116" s="344" t="e">
        <f>'Tab1'!#REF!</f>
        <v>#REF!</v>
      </c>
      <c r="B116" s="91" t="e">
        <f>IF('Tab1'!#REF!&lt;&gt;"",'Tab1'!#REF!,"")</f>
        <v>#REF!</v>
      </c>
      <c r="C116" s="91" t="e">
        <f>'Tab1'!#REF!</f>
        <v>#REF!</v>
      </c>
      <c r="D116" s="91" t="e">
        <f>'Tab1'!#REF!</f>
        <v>#REF!</v>
      </c>
      <c r="E116" s="91" t="e">
        <f>IF('Tab1'!#REF!&lt;0,"",'Tab1'!#REF!)</f>
        <v>#REF!</v>
      </c>
      <c r="F116" s="6" t="e">
        <f>'Tab1'!#REF!</f>
        <v>#REF!</v>
      </c>
      <c r="G116" s="91" t="e">
        <f>1/'Tab1'!#REF!</f>
        <v>#REF!</v>
      </c>
      <c r="H116" s="91" t="e">
        <f>IF(G116="","",'Tab1'!#REF!)</f>
        <v>#REF!</v>
      </c>
      <c r="I116" s="91" t="e">
        <f>IF(H116="","",'Tab1'!#REF!)</f>
        <v>#REF!</v>
      </c>
      <c r="J116" s="91" t="e">
        <f>IF(I116="","",'Tab1'!#REF!)</f>
        <v>#REF!</v>
      </c>
      <c r="K116" s="91" t="e">
        <f>IF(J116="","",'Tab1'!#REF!)</f>
        <v>#REF!</v>
      </c>
      <c r="L116" s="55"/>
      <c r="M116" s="55"/>
      <c r="N116" s="55"/>
      <c r="O116" s="7"/>
      <c r="P116" s="7"/>
      <c r="Q116" s="7"/>
      <c r="R116" s="7"/>
      <c r="S116" s="7"/>
      <c r="T116" s="7"/>
      <c r="U116" s="7"/>
      <c r="V116" s="5"/>
      <c r="W116" s="98"/>
      <c r="X116" s="98"/>
      <c r="Y116" s="98"/>
      <c r="Z116" s="98"/>
    </row>
    <row r="117" spans="1:26" ht="14.25" customHeight="1" x14ac:dyDescent="0.15">
      <c r="A117" s="344" t="e">
        <f>'Tab1'!#REF!</f>
        <v>#REF!</v>
      </c>
      <c r="B117" s="91" t="e">
        <f>IF('Tab1'!#REF!&lt;&gt;"",'Tab1'!#REF!,"")</f>
        <v>#REF!</v>
      </c>
      <c r="C117" s="91" t="e">
        <f>'Tab1'!#REF!</f>
        <v>#REF!</v>
      </c>
      <c r="D117" s="91" t="e">
        <f>'Tab1'!#REF!</f>
        <v>#REF!</v>
      </c>
      <c r="E117" s="91" t="e">
        <f>IF('Tab1'!#REF!&lt;0,"",'Tab1'!#REF!)</f>
        <v>#REF!</v>
      </c>
      <c r="F117" s="6" t="e">
        <f>'Tab1'!#REF!</f>
        <v>#REF!</v>
      </c>
      <c r="G117" s="91" t="e">
        <f>1/'Tab1'!#REF!</f>
        <v>#REF!</v>
      </c>
      <c r="H117" s="91" t="e">
        <f>IF(G117="","",'Tab1'!#REF!)</f>
        <v>#REF!</v>
      </c>
      <c r="I117" s="91" t="e">
        <f>IF(H117="","",'Tab1'!#REF!)</f>
        <v>#REF!</v>
      </c>
      <c r="J117" s="91" t="e">
        <f>IF(I117="","",'Tab1'!#REF!)</f>
        <v>#REF!</v>
      </c>
      <c r="K117" s="91" t="e">
        <f>IF(J117="","",'Tab1'!#REF!)</f>
        <v>#REF!</v>
      </c>
      <c r="L117" s="55"/>
      <c r="M117" s="55"/>
      <c r="N117" s="55"/>
      <c r="O117" s="7"/>
      <c r="P117" s="7"/>
      <c r="Q117" s="7"/>
      <c r="R117" s="7"/>
      <c r="S117" s="7"/>
      <c r="T117" s="7"/>
      <c r="U117" s="7"/>
      <c r="V117" s="5"/>
      <c r="W117" s="98"/>
      <c r="X117" s="98"/>
      <c r="Y117" s="98"/>
      <c r="Z117" s="98"/>
    </row>
    <row r="118" spans="1:26" ht="14.25" customHeight="1" x14ac:dyDescent="0.15">
      <c r="A118" s="344" t="e">
        <f>'Tab1'!#REF!</f>
        <v>#REF!</v>
      </c>
      <c r="B118" s="91" t="e">
        <f>IF('Tab1'!#REF!&lt;&gt;"",'Tab1'!#REF!,"")</f>
        <v>#REF!</v>
      </c>
      <c r="C118" s="91" t="e">
        <f>'Tab1'!#REF!</f>
        <v>#REF!</v>
      </c>
      <c r="D118" s="91" t="e">
        <f>'Tab1'!#REF!</f>
        <v>#REF!</v>
      </c>
      <c r="E118" s="91" t="e">
        <f>IF('Tab1'!#REF!&lt;0,"",'Tab1'!#REF!)</f>
        <v>#REF!</v>
      </c>
      <c r="F118" s="6" t="e">
        <f>'Tab1'!#REF!</f>
        <v>#REF!</v>
      </c>
      <c r="G118" s="91" t="e">
        <f>1/'Tab1'!#REF!</f>
        <v>#REF!</v>
      </c>
      <c r="H118" s="91" t="e">
        <f>IF(G118="","",'Tab1'!#REF!)</f>
        <v>#REF!</v>
      </c>
      <c r="I118" s="91" t="e">
        <f>IF(H118="","",'Tab1'!#REF!)</f>
        <v>#REF!</v>
      </c>
      <c r="J118" s="91" t="e">
        <f>IF(I118="","",'Tab1'!#REF!)</f>
        <v>#REF!</v>
      </c>
      <c r="K118" s="91" t="e">
        <f>IF(J118="","",'Tab1'!#REF!)</f>
        <v>#REF!</v>
      </c>
      <c r="L118" s="55"/>
      <c r="M118" s="55"/>
      <c r="N118" s="55"/>
      <c r="O118" s="7"/>
      <c r="P118" s="7"/>
      <c r="Q118" s="7"/>
      <c r="R118" s="7"/>
      <c r="S118" s="7"/>
      <c r="T118" s="7"/>
      <c r="U118" s="7"/>
      <c r="V118" s="5"/>
      <c r="W118" s="98"/>
      <c r="X118" s="98"/>
      <c r="Y118" s="98"/>
      <c r="Z118" s="98"/>
    </row>
    <row r="119" spans="1:26" ht="14.25" customHeight="1" x14ac:dyDescent="0.15">
      <c r="A119" s="344" t="e">
        <f>'Tab1'!#REF!</f>
        <v>#REF!</v>
      </c>
      <c r="B119" s="91" t="e">
        <f>IF('Tab1'!#REF!&lt;&gt;"",'Tab1'!#REF!,"")</f>
        <v>#REF!</v>
      </c>
      <c r="C119" s="91" t="e">
        <f>'Tab1'!#REF!</f>
        <v>#REF!</v>
      </c>
      <c r="D119" s="91" t="e">
        <f>'Tab1'!#REF!</f>
        <v>#REF!</v>
      </c>
      <c r="E119" s="91" t="e">
        <f>IF('Tab1'!#REF!&lt;0,"",'Tab1'!#REF!)</f>
        <v>#REF!</v>
      </c>
      <c r="F119" s="6" t="e">
        <f>'Tab1'!#REF!</f>
        <v>#REF!</v>
      </c>
      <c r="G119" s="91" t="e">
        <f>1/'Tab1'!#REF!</f>
        <v>#REF!</v>
      </c>
      <c r="H119" s="91" t="e">
        <f>IF(G119="","",'Tab1'!#REF!)</f>
        <v>#REF!</v>
      </c>
      <c r="I119" s="91" t="e">
        <f>IF(H119="","",'Tab1'!#REF!)</f>
        <v>#REF!</v>
      </c>
      <c r="J119" s="91" t="e">
        <f>IF(I119="","",'Tab1'!#REF!)</f>
        <v>#REF!</v>
      </c>
      <c r="K119" s="91" t="e">
        <f>IF(J119="","",'Tab1'!#REF!)</f>
        <v>#REF!</v>
      </c>
      <c r="L119" s="55"/>
      <c r="M119" s="55"/>
      <c r="N119" s="55"/>
      <c r="O119" s="7"/>
      <c r="P119" s="7"/>
      <c r="Q119" s="7"/>
      <c r="R119" s="7"/>
      <c r="S119" s="7"/>
      <c r="T119" s="7"/>
      <c r="U119" s="7"/>
      <c r="V119" s="5"/>
      <c r="W119" s="98"/>
      <c r="X119" s="98"/>
      <c r="Y119" s="98"/>
      <c r="Z119" s="98"/>
    </row>
    <row r="120" spans="1:26" ht="14.25" customHeight="1" x14ac:dyDescent="0.15">
      <c r="A120" s="344" t="e">
        <f>'Tab1'!#REF!</f>
        <v>#REF!</v>
      </c>
      <c r="B120" s="91" t="e">
        <f>IF('Tab1'!#REF!&lt;&gt;"",'Tab1'!#REF!,"")</f>
        <v>#REF!</v>
      </c>
      <c r="C120" s="91" t="e">
        <f>'Tab1'!#REF!</f>
        <v>#REF!</v>
      </c>
      <c r="D120" s="91" t="e">
        <f>'Tab1'!#REF!</f>
        <v>#REF!</v>
      </c>
      <c r="E120" s="91" t="e">
        <f>IF('Tab1'!#REF!&lt;0,"",'Tab1'!#REF!)</f>
        <v>#REF!</v>
      </c>
      <c r="F120" s="6" t="e">
        <f>'Tab1'!#REF!</f>
        <v>#REF!</v>
      </c>
      <c r="G120" s="91" t="e">
        <f>1/'Tab1'!#REF!</f>
        <v>#REF!</v>
      </c>
      <c r="H120" s="91" t="e">
        <f>IF(G120="","",'Tab1'!#REF!)</f>
        <v>#REF!</v>
      </c>
      <c r="I120" s="91" t="e">
        <f>IF(H120="","",'Tab1'!#REF!)</f>
        <v>#REF!</v>
      </c>
      <c r="J120" s="91" t="e">
        <f>IF(I120="","",'Tab1'!#REF!)</f>
        <v>#REF!</v>
      </c>
      <c r="K120" s="91" t="e">
        <f>IF(J120="","",'Tab1'!#REF!)</f>
        <v>#REF!</v>
      </c>
      <c r="L120" s="55"/>
      <c r="M120" s="55"/>
      <c r="N120" s="55"/>
      <c r="O120" s="7"/>
      <c r="P120" s="7"/>
      <c r="Q120" s="7"/>
      <c r="R120" s="7"/>
      <c r="S120" s="7"/>
      <c r="T120" s="7"/>
      <c r="U120" s="7"/>
      <c r="V120" s="5"/>
      <c r="W120" s="98"/>
      <c r="X120" s="98"/>
      <c r="Y120" s="98"/>
      <c r="Z120" s="98"/>
    </row>
    <row r="121" spans="1:26" ht="14.25" customHeight="1" x14ac:dyDescent="0.15">
      <c r="A121" s="344" t="e">
        <f>'Tab1'!#REF!</f>
        <v>#REF!</v>
      </c>
      <c r="B121" s="91" t="e">
        <f>IF('Tab1'!#REF!&lt;&gt;"",'Tab1'!#REF!,"")</f>
        <v>#REF!</v>
      </c>
      <c r="C121" s="91" t="e">
        <f>'Tab1'!#REF!</f>
        <v>#REF!</v>
      </c>
      <c r="D121" s="91" t="e">
        <f>'Tab1'!#REF!</f>
        <v>#REF!</v>
      </c>
      <c r="E121" s="91" t="e">
        <f>IF('Tab1'!#REF!&lt;0,"",'Tab1'!#REF!)</f>
        <v>#REF!</v>
      </c>
      <c r="F121" s="6" t="e">
        <f>'Tab1'!#REF!</f>
        <v>#REF!</v>
      </c>
      <c r="G121" s="91" t="e">
        <f>1/'Tab1'!#REF!</f>
        <v>#REF!</v>
      </c>
      <c r="H121" s="91" t="e">
        <f>IF(G121="","",'Tab1'!#REF!)</f>
        <v>#REF!</v>
      </c>
      <c r="I121" s="91" t="e">
        <f>IF(H121="","",'Tab1'!#REF!)</f>
        <v>#REF!</v>
      </c>
      <c r="J121" s="91" t="e">
        <f>IF(I121="","",'Tab1'!#REF!)</f>
        <v>#REF!</v>
      </c>
      <c r="K121" s="91" t="e">
        <f>IF(J121="","",'Tab1'!#REF!)</f>
        <v>#REF!</v>
      </c>
      <c r="L121" s="55"/>
      <c r="M121" s="55"/>
      <c r="N121" s="55"/>
      <c r="O121" s="7"/>
      <c r="P121" s="7"/>
      <c r="Q121" s="7"/>
      <c r="R121" s="7"/>
      <c r="S121" s="7"/>
      <c r="T121" s="7"/>
      <c r="U121" s="7"/>
      <c r="V121" s="5"/>
      <c r="W121" s="98"/>
      <c r="X121" s="98"/>
      <c r="Y121" s="98"/>
      <c r="Z121" s="98"/>
    </row>
    <row r="122" spans="1:26" ht="14.25" customHeight="1" x14ac:dyDescent="0.15">
      <c r="A122" s="344" t="e">
        <f>'Tab1'!#REF!</f>
        <v>#REF!</v>
      </c>
      <c r="B122" s="91" t="e">
        <f>IF('Tab1'!#REF!&lt;&gt;"",'Tab1'!#REF!,"")</f>
        <v>#REF!</v>
      </c>
      <c r="C122" s="91" t="e">
        <f>'Tab1'!#REF!</f>
        <v>#REF!</v>
      </c>
      <c r="D122" s="91" t="e">
        <f>'Tab1'!#REF!</f>
        <v>#REF!</v>
      </c>
      <c r="E122" s="91" t="e">
        <f>IF('Tab1'!#REF!&lt;0,"",'Tab1'!#REF!)</f>
        <v>#REF!</v>
      </c>
      <c r="F122" s="6" t="e">
        <f>'Tab1'!#REF!</f>
        <v>#REF!</v>
      </c>
      <c r="G122" s="91" t="e">
        <f>1/'Tab1'!#REF!</f>
        <v>#REF!</v>
      </c>
      <c r="H122" s="91" t="e">
        <f>IF(G122="","",'Tab1'!#REF!)</f>
        <v>#REF!</v>
      </c>
      <c r="I122" s="91" t="e">
        <f>IF(H122="","",'Tab1'!#REF!)</f>
        <v>#REF!</v>
      </c>
      <c r="J122" s="91" t="e">
        <f>IF(I122="","",'Tab1'!#REF!)</f>
        <v>#REF!</v>
      </c>
      <c r="K122" s="91" t="e">
        <f>IF(J122="","",'Tab1'!#REF!)</f>
        <v>#REF!</v>
      </c>
      <c r="L122" s="55"/>
      <c r="M122" s="55"/>
      <c r="N122" s="55"/>
      <c r="O122" s="7"/>
      <c r="P122" s="7"/>
      <c r="Q122" s="7"/>
      <c r="R122" s="7"/>
      <c r="S122" s="7"/>
      <c r="T122" s="7"/>
      <c r="U122" s="7"/>
      <c r="V122" s="5"/>
      <c r="W122" s="98"/>
      <c r="X122" s="98"/>
      <c r="Y122" s="98"/>
      <c r="Z122" s="98"/>
    </row>
    <row r="123" spans="1:26" ht="14.25" customHeight="1" x14ac:dyDescent="0.15">
      <c r="A123" s="344" t="e">
        <f>'Tab1'!#REF!</f>
        <v>#REF!</v>
      </c>
      <c r="B123" s="91" t="e">
        <f>IF('Tab1'!#REF!&lt;&gt;"",'Tab1'!#REF!,"")</f>
        <v>#REF!</v>
      </c>
      <c r="C123" s="91" t="e">
        <f>'Tab1'!#REF!</f>
        <v>#REF!</v>
      </c>
      <c r="D123" s="91" t="e">
        <f>'Tab1'!#REF!</f>
        <v>#REF!</v>
      </c>
      <c r="E123" s="91" t="e">
        <f>IF('Tab1'!#REF!&lt;0,"",'Tab1'!#REF!)</f>
        <v>#REF!</v>
      </c>
      <c r="F123" s="6" t="e">
        <f>'Tab1'!#REF!</f>
        <v>#REF!</v>
      </c>
      <c r="G123" s="91" t="e">
        <f>1/'Tab1'!#REF!</f>
        <v>#REF!</v>
      </c>
      <c r="H123" s="91" t="e">
        <f>IF(G123="","",'Tab1'!#REF!)</f>
        <v>#REF!</v>
      </c>
      <c r="I123" s="91" t="e">
        <f>IF(H123="","",'Tab1'!#REF!)</f>
        <v>#REF!</v>
      </c>
      <c r="J123" s="91" t="e">
        <f>IF(I123="","",'Tab1'!#REF!)</f>
        <v>#REF!</v>
      </c>
      <c r="K123" s="91" t="e">
        <f>IF(J123="","",'Tab1'!#REF!)</f>
        <v>#REF!</v>
      </c>
      <c r="L123" s="55"/>
      <c r="M123" s="55"/>
      <c r="N123" s="55"/>
      <c r="O123" s="7"/>
      <c r="P123" s="7"/>
      <c r="Q123" s="7"/>
      <c r="R123" s="7"/>
      <c r="S123" s="7"/>
      <c r="T123" s="7"/>
      <c r="U123" s="7"/>
      <c r="V123" s="5"/>
      <c r="W123" s="98"/>
      <c r="X123" s="98"/>
      <c r="Y123" s="98"/>
      <c r="Z123" s="98"/>
    </row>
    <row r="124" spans="1:26" ht="14.25" customHeight="1" x14ac:dyDescent="0.15">
      <c r="A124" s="344" t="e">
        <f>'Tab1'!#REF!</f>
        <v>#REF!</v>
      </c>
      <c r="B124" s="91" t="e">
        <f>IF('Tab1'!#REF!&lt;&gt;"",'Tab1'!#REF!,"")</f>
        <v>#REF!</v>
      </c>
      <c r="C124" s="91" t="e">
        <f>'Tab1'!#REF!</f>
        <v>#REF!</v>
      </c>
      <c r="D124" s="91" t="e">
        <f>'Tab1'!#REF!</f>
        <v>#REF!</v>
      </c>
      <c r="E124" s="91" t="e">
        <f>IF('Tab1'!#REF!&lt;0,"",'Tab1'!#REF!)</f>
        <v>#REF!</v>
      </c>
      <c r="F124" s="6" t="e">
        <f>'Tab1'!#REF!</f>
        <v>#REF!</v>
      </c>
      <c r="G124" s="91" t="e">
        <f>1/'Tab1'!#REF!</f>
        <v>#REF!</v>
      </c>
      <c r="H124" s="91" t="e">
        <f>IF(G124="","",'Tab1'!#REF!)</f>
        <v>#REF!</v>
      </c>
      <c r="I124" s="91" t="e">
        <f>IF(H124="","",'Tab1'!#REF!)</f>
        <v>#REF!</v>
      </c>
      <c r="J124" s="91" t="e">
        <f>IF(I124="","",'Tab1'!#REF!)</f>
        <v>#REF!</v>
      </c>
      <c r="K124" s="91" t="e">
        <f>IF(J124="","",'Tab1'!#REF!)</f>
        <v>#REF!</v>
      </c>
      <c r="L124" s="55"/>
      <c r="M124" s="55"/>
      <c r="N124" s="55"/>
      <c r="O124" s="7"/>
      <c r="P124" s="7"/>
      <c r="Q124" s="7"/>
      <c r="R124" s="7"/>
      <c r="S124" s="7"/>
      <c r="T124" s="7"/>
      <c r="U124" s="7"/>
      <c r="V124" s="5"/>
      <c r="W124" s="98"/>
      <c r="X124" s="98"/>
      <c r="Y124" s="98"/>
      <c r="Z124" s="98"/>
    </row>
    <row r="125" spans="1:26" ht="14.25" customHeight="1" x14ac:dyDescent="0.15">
      <c r="A125" s="344" t="e">
        <f>'Tab1'!#REF!</f>
        <v>#REF!</v>
      </c>
      <c r="B125" s="91" t="e">
        <f>IF('Tab1'!#REF!&lt;&gt;"",'Tab1'!#REF!,"")</f>
        <v>#REF!</v>
      </c>
      <c r="C125" s="91" t="e">
        <f>'Tab1'!#REF!</f>
        <v>#REF!</v>
      </c>
      <c r="D125" s="91" t="e">
        <f>'Tab1'!#REF!</f>
        <v>#REF!</v>
      </c>
      <c r="E125" s="91" t="e">
        <f>IF('Tab1'!#REF!&lt;0,"",'Tab1'!#REF!)</f>
        <v>#REF!</v>
      </c>
      <c r="F125" s="6" t="e">
        <f>'Tab1'!#REF!</f>
        <v>#REF!</v>
      </c>
      <c r="G125" s="91" t="e">
        <f>1/'Tab1'!#REF!</f>
        <v>#REF!</v>
      </c>
      <c r="H125" s="91" t="e">
        <f>IF(G125="","",'Tab1'!#REF!)</f>
        <v>#REF!</v>
      </c>
      <c r="I125" s="91" t="e">
        <f>IF(H125="","",'Tab1'!#REF!)</f>
        <v>#REF!</v>
      </c>
      <c r="J125" s="91" t="e">
        <f>IF(I125="","",'Tab1'!#REF!)</f>
        <v>#REF!</v>
      </c>
      <c r="K125" s="91" t="e">
        <f>IF(J125="","",'Tab1'!#REF!)</f>
        <v>#REF!</v>
      </c>
      <c r="L125" s="55"/>
      <c r="M125" s="55"/>
      <c r="N125" s="55"/>
      <c r="O125" s="7"/>
      <c r="P125" s="7"/>
      <c r="Q125" s="7"/>
      <c r="R125" s="7"/>
      <c r="S125" s="7"/>
      <c r="T125" s="7"/>
      <c r="U125" s="7"/>
      <c r="V125" s="5"/>
      <c r="W125" s="98"/>
      <c r="X125" s="98"/>
      <c r="Y125" s="98"/>
      <c r="Z125" s="98"/>
    </row>
    <row r="126" spans="1:26" ht="14.25" customHeight="1" x14ac:dyDescent="0.15">
      <c r="A126" s="344" t="e">
        <f>'Tab1'!#REF!</f>
        <v>#REF!</v>
      </c>
      <c r="B126" s="91" t="e">
        <f>IF('Tab1'!#REF!&lt;&gt;"",'Tab1'!#REF!,"")</f>
        <v>#REF!</v>
      </c>
      <c r="C126" s="91" t="e">
        <f>'Tab1'!#REF!</f>
        <v>#REF!</v>
      </c>
      <c r="D126" s="91" t="e">
        <f>'Tab1'!#REF!</f>
        <v>#REF!</v>
      </c>
      <c r="E126" s="91" t="e">
        <f>IF('Tab1'!#REF!&lt;0,"",'Tab1'!#REF!)</f>
        <v>#REF!</v>
      </c>
      <c r="F126" s="6" t="e">
        <f>'Tab1'!#REF!</f>
        <v>#REF!</v>
      </c>
      <c r="G126" s="91" t="e">
        <f>1/'Tab1'!#REF!</f>
        <v>#REF!</v>
      </c>
      <c r="H126" s="91" t="e">
        <f>IF(G126="","",'Tab1'!#REF!)</f>
        <v>#REF!</v>
      </c>
      <c r="I126" s="91" t="e">
        <f>IF(H126="","",'Tab1'!#REF!)</f>
        <v>#REF!</v>
      </c>
      <c r="J126" s="91" t="e">
        <f>IF(I126="","",'Tab1'!#REF!)</f>
        <v>#REF!</v>
      </c>
      <c r="K126" s="91" t="e">
        <f>IF(J126="","",'Tab1'!#REF!)</f>
        <v>#REF!</v>
      </c>
      <c r="L126" s="55"/>
      <c r="M126" s="55"/>
      <c r="N126" s="55"/>
      <c r="O126" s="7"/>
      <c r="P126" s="7"/>
      <c r="Q126" s="7"/>
      <c r="R126" s="7"/>
      <c r="S126" s="7"/>
      <c r="T126" s="7"/>
      <c r="U126" s="7"/>
      <c r="V126" s="5"/>
      <c r="W126" s="98"/>
      <c r="X126" s="98"/>
      <c r="Y126" s="98"/>
      <c r="Z126" s="98"/>
    </row>
    <row r="127" spans="1:26" ht="14.25" customHeight="1" x14ac:dyDescent="0.15">
      <c r="A127" s="344" t="e">
        <f>'Tab1'!#REF!</f>
        <v>#REF!</v>
      </c>
      <c r="B127" s="91" t="e">
        <f>IF('Tab1'!#REF!&lt;&gt;"",'Tab1'!#REF!,"")</f>
        <v>#REF!</v>
      </c>
      <c r="C127" s="91" t="e">
        <f>'Tab1'!#REF!</f>
        <v>#REF!</v>
      </c>
      <c r="D127" s="91" t="e">
        <f>'Tab1'!#REF!</f>
        <v>#REF!</v>
      </c>
      <c r="E127" s="91" t="e">
        <f>IF('Tab1'!#REF!&lt;0,"",'Tab1'!#REF!)</f>
        <v>#REF!</v>
      </c>
      <c r="F127" s="6" t="e">
        <f>'Tab1'!#REF!</f>
        <v>#REF!</v>
      </c>
      <c r="G127" s="91" t="e">
        <f>1/'Tab1'!#REF!</f>
        <v>#REF!</v>
      </c>
      <c r="H127" s="91" t="e">
        <f>IF(G127="","",'Tab1'!#REF!)</f>
        <v>#REF!</v>
      </c>
      <c r="I127" s="91" t="e">
        <f>IF(H127="","",'Tab1'!#REF!)</f>
        <v>#REF!</v>
      </c>
      <c r="J127" s="91" t="e">
        <f>IF(I127="","",'Tab1'!#REF!)</f>
        <v>#REF!</v>
      </c>
      <c r="K127" s="91" t="e">
        <f>IF(J127="","",'Tab1'!#REF!)</f>
        <v>#REF!</v>
      </c>
      <c r="L127" s="55"/>
      <c r="M127" s="55"/>
      <c r="N127" s="55"/>
      <c r="O127" s="7"/>
      <c r="P127" s="7"/>
      <c r="Q127" s="7"/>
      <c r="R127" s="7"/>
      <c r="S127" s="7"/>
      <c r="T127" s="7"/>
      <c r="U127" s="7"/>
      <c r="V127" s="5"/>
      <c r="W127" s="98"/>
      <c r="X127" s="98"/>
      <c r="Y127" s="98"/>
      <c r="Z127" s="98"/>
    </row>
    <row r="128" spans="1:26" ht="14.25" customHeight="1" x14ac:dyDescent="0.15">
      <c r="A128" s="344" t="e">
        <f>'Tab1'!#REF!</f>
        <v>#REF!</v>
      </c>
      <c r="B128" s="91" t="e">
        <f>IF('Tab1'!#REF!&lt;&gt;"",'Tab1'!#REF!,"")</f>
        <v>#REF!</v>
      </c>
      <c r="C128" s="91" t="e">
        <f>'Tab1'!#REF!</f>
        <v>#REF!</v>
      </c>
      <c r="D128" s="91" t="e">
        <f>'Tab1'!#REF!</f>
        <v>#REF!</v>
      </c>
      <c r="E128" s="91" t="e">
        <f>IF('Tab1'!#REF!&lt;0,"",'Tab1'!#REF!)</f>
        <v>#REF!</v>
      </c>
      <c r="F128" s="6" t="e">
        <f>'Tab1'!#REF!</f>
        <v>#REF!</v>
      </c>
      <c r="G128" s="91" t="e">
        <f>1/'Tab1'!#REF!</f>
        <v>#REF!</v>
      </c>
      <c r="H128" s="91" t="e">
        <f>IF(G128="","",'Tab1'!#REF!)</f>
        <v>#REF!</v>
      </c>
      <c r="I128" s="91" t="e">
        <f>IF(H128="","",'Tab1'!#REF!)</f>
        <v>#REF!</v>
      </c>
      <c r="J128" s="91" t="e">
        <f>IF(I128="","",'Tab1'!#REF!)</f>
        <v>#REF!</v>
      </c>
      <c r="K128" s="91" t="e">
        <f>IF(J128="","",'Tab1'!#REF!)</f>
        <v>#REF!</v>
      </c>
      <c r="L128" s="55"/>
      <c r="M128" s="55"/>
      <c r="N128" s="55"/>
      <c r="O128" s="7"/>
      <c r="P128" s="7"/>
      <c r="Q128" s="7"/>
      <c r="R128" s="7"/>
      <c r="S128" s="7"/>
      <c r="T128" s="7"/>
      <c r="U128" s="7"/>
      <c r="V128" s="5"/>
      <c r="W128" s="98"/>
      <c r="X128" s="98"/>
      <c r="Y128" s="98"/>
      <c r="Z128" s="98"/>
    </row>
    <row r="129" spans="1:26" ht="14.25" customHeight="1" x14ac:dyDescent="0.15">
      <c r="A129" s="344" t="e">
        <f>'Tab1'!#REF!</f>
        <v>#REF!</v>
      </c>
      <c r="B129" s="91" t="e">
        <f>IF('Tab1'!#REF!&lt;&gt;"",'Tab1'!#REF!,"")</f>
        <v>#REF!</v>
      </c>
      <c r="C129" s="91" t="e">
        <f>'Tab1'!#REF!</f>
        <v>#REF!</v>
      </c>
      <c r="D129" s="91" t="e">
        <f>'Tab1'!#REF!</f>
        <v>#REF!</v>
      </c>
      <c r="E129" s="91" t="e">
        <f>IF('Tab1'!#REF!&lt;0,"",'Tab1'!#REF!)</f>
        <v>#REF!</v>
      </c>
      <c r="F129" s="6" t="e">
        <f>'Tab1'!#REF!</f>
        <v>#REF!</v>
      </c>
      <c r="G129" s="91" t="e">
        <f>1/'Tab1'!#REF!</f>
        <v>#REF!</v>
      </c>
      <c r="H129" s="91" t="e">
        <f>IF(G129="","",'Tab1'!#REF!)</f>
        <v>#REF!</v>
      </c>
      <c r="I129" s="91" t="e">
        <f>IF(H129="","",'Tab1'!#REF!)</f>
        <v>#REF!</v>
      </c>
      <c r="J129" s="91" t="e">
        <f>IF(I129="","",'Tab1'!#REF!)</f>
        <v>#REF!</v>
      </c>
      <c r="K129" s="91" t="e">
        <f>IF(J129="","",'Tab1'!#REF!)</f>
        <v>#REF!</v>
      </c>
      <c r="L129" s="55"/>
      <c r="M129" s="55"/>
      <c r="N129" s="55"/>
      <c r="O129" s="7"/>
      <c r="P129" s="7"/>
      <c r="Q129" s="7"/>
      <c r="R129" s="7"/>
      <c r="S129" s="7"/>
      <c r="T129" s="7"/>
      <c r="U129" s="7"/>
      <c r="V129" s="5"/>
      <c r="W129" s="98"/>
      <c r="X129" s="98"/>
      <c r="Y129" s="98"/>
      <c r="Z129" s="98"/>
    </row>
    <row r="130" spans="1:26" ht="14.25" customHeight="1" x14ac:dyDescent="0.15">
      <c r="A130" s="344" t="e">
        <f>'Tab1'!#REF!</f>
        <v>#REF!</v>
      </c>
      <c r="B130" s="91" t="e">
        <f>IF('Tab1'!#REF!&lt;&gt;"",'Tab1'!#REF!,"")</f>
        <v>#REF!</v>
      </c>
      <c r="C130" s="91" t="e">
        <f>'Tab1'!#REF!</f>
        <v>#REF!</v>
      </c>
      <c r="D130" s="91" t="e">
        <f>'Tab1'!#REF!</f>
        <v>#REF!</v>
      </c>
      <c r="E130" s="91" t="e">
        <f>IF('Tab1'!#REF!&lt;0,"",'Tab1'!#REF!)</f>
        <v>#REF!</v>
      </c>
      <c r="F130" s="6" t="e">
        <f>'Tab1'!#REF!</f>
        <v>#REF!</v>
      </c>
      <c r="G130" s="91" t="e">
        <f>1/'Tab1'!#REF!</f>
        <v>#REF!</v>
      </c>
      <c r="H130" s="91" t="e">
        <f>IF(G130="","",'Tab1'!#REF!)</f>
        <v>#REF!</v>
      </c>
      <c r="I130" s="91" t="e">
        <f>IF(H130="","",'Tab1'!#REF!)</f>
        <v>#REF!</v>
      </c>
      <c r="J130" s="91" t="e">
        <f>IF(I130="","",'Tab1'!#REF!)</f>
        <v>#REF!</v>
      </c>
      <c r="K130" s="91" t="e">
        <f>IF(J130="","",'Tab1'!#REF!)</f>
        <v>#REF!</v>
      </c>
      <c r="L130" s="55"/>
      <c r="M130" s="55"/>
      <c r="N130" s="55"/>
      <c r="O130" s="7"/>
      <c r="P130" s="7"/>
      <c r="Q130" s="7"/>
      <c r="R130" s="7"/>
      <c r="S130" s="7"/>
      <c r="T130" s="7"/>
      <c r="U130" s="7"/>
      <c r="V130" s="5"/>
      <c r="W130" s="98"/>
      <c r="X130" s="98"/>
      <c r="Y130" s="98"/>
      <c r="Z130" s="98"/>
    </row>
    <row r="131" spans="1:26" ht="14.25" customHeight="1" x14ac:dyDescent="0.15">
      <c r="A131" s="344" t="e">
        <f>'Tab1'!#REF!</f>
        <v>#REF!</v>
      </c>
      <c r="B131" s="91" t="e">
        <f>IF('Tab1'!#REF!&lt;&gt;"",'Tab1'!#REF!,"")</f>
        <v>#REF!</v>
      </c>
      <c r="C131" s="91" t="e">
        <f>'Tab1'!#REF!</f>
        <v>#REF!</v>
      </c>
      <c r="D131" s="91" t="e">
        <f>'Tab1'!#REF!</f>
        <v>#REF!</v>
      </c>
      <c r="E131" s="91" t="e">
        <f>IF('Tab1'!#REF!&lt;0,"",'Tab1'!#REF!)</f>
        <v>#REF!</v>
      </c>
      <c r="F131" s="6" t="e">
        <f>'Tab1'!#REF!</f>
        <v>#REF!</v>
      </c>
      <c r="G131" s="91" t="e">
        <f>1/'Tab1'!#REF!</f>
        <v>#REF!</v>
      </c>
      <c r="H131" s="91" t="e">
        <f>IF(G131="","",'Tab1'!#REF!)</f>
        <v>#REF!</v>
      </c>
      <c r="I131" s="91" t="e">
        <f>IF(H131="","",'Tab1'!#REF!)</f>
        <v>#REF!</v>
      </c>
      <c r="J131" s="91" t="e">
        <f>IF(I131="","",'Tab1'!#REF!)</f>
        <v>#REF!</v>
      </c>
      <c r="K131" s="91" t="e">
        <f>IF(J131="","",'Tab1'!#REF!)</f>
        <v>#REF!</v>
      </c>
      <c r="L131" s="55"/>
      <c r="M131" s="55"/>
      <c r="N131" s="55"/>
      <c r="O131" s="7"/>
      <c r="P131" s="7"/>
      <c r="Q131" s="7"/>
      <c r="R131" s="7"/>
      <c r="S131" s="7"/>
      <c r="T131" s="7"/>
      <c r="U131" s="7"/>
      <c r="V131" s="5"/>
      <c r="W131" s="98"/>
      <c r="X131" s="98"/>
      <c r="Y131" s="98"/>
      <c r="Z131" s="98"/>
    </row>
    <row r="132" spans="1:26" ht="14.25" customHeight="1" x14ac:dyDescent="0.15">
      <c r="A132" s="344" t="e">
        <f>'Tab1'!#REF!</f>
        <v>#REF!</v>
      </c>
      <c r="B132" s="91" t="e">
        <f>IF('Tab1'!#REF!&lt;&gt;"",'Tab1'!#REF!,"")</f>
        <v>#REF!</v>
      </c>
      <c r="C132" s="91" t="e">
        <f>'Tab1'!#REF!</f>
        <v>#REF!</v>
      </c>
      <c r="D132" s="91" t="e">
        <f>'Tab1'!#REF!</f>
        <v>#REF!</v>
      </c>
      <c r="E132" s="91" t="e">
        <f>IF('Tab1'!#REF!&lt;0,"",'Tab1'!#REF!)</f>
        <v>#REF!</v>
      </c>
      <c r="F132" s="6" t="e">
        <f>'Tab1'!#REF!</f>
        <v>#REF!</v>
      </c>
      <c r="G132" s="91" t="e">
        <f>1/'Tab1'!#REF!</f>
        <v>#REF!</v>
      </c>
      <c r="H132" s="91" t="e">
        <f>IF(G132="","",'Tab1'!#REF!)</f>
        <v>#REF!</v>
      </c>
      <c r="I132" s="91" t="e">
        <f>IF(H132="","",'Tab1'!#REF!)</f>
        <v>#REF!</v>
      </c>
      <c r="J132" s="91" t="e">
        <f>IF(I132="","",'Tab1'!#REF!)</f>
        <v>#REF!</v>
      </c>
      <c r="K132" s="91" t="e">
        <f>IF(J132="","",'Tab1'!#REF!)</f>
        <v>#REF!</v>
      </c>
      <c r="L132" s="55"/>
      <c r="M132" s="55"/>
      <c r="N132" s="55"/>
      <c r="O132" s="7"/>
      <c r="P132" s="7"/>
      <c r="Q132" s="7"/>
      <c r="R132" s="7"/>
      <c r="S132" s="7"/>
      <c r="T132" s="7"/>
      <c r="U132" s="7"/>
      <c r="V132" s="5"/>
      <c r="W132" s="98"/>
      <c r="X132" s="98"/>
      <c r="Y132" s="98"/>
      <c r="Z132" s="98"/>
    </row>
    <row r="133" spans="1:26" ht="14.25" customHeight="1" x14ac:dyDescent="0.15">
      <c r="A133" s="344" t="e">
        <f>'Tab1'!#REF!</f>
        <v>#REF!</v>
      </c>
      <c r="B133" s="91" t="e">
        <f>IF('Tab1'!#REF!&lt;&gt;"",'Tab1'!#REF!,"")</f>
        <v>#REF!</v>
      </c>
      <c r="C133" s="91" t="e">
        <f>'Tab1'!#REF!</f>
        <v>#REF!</v>
      </c>
      <c r="D133" s="91" t="e">
        <f>'Tab1'!#REF!</f>
        <v>#REF!</v>
      </c>
      <c r="E133" s="91" t="e">
        <f>IF('Tab1'!#REF!&lt;0,"",'Tab1'!#REF!)</f>
        <v>#REF!</v>
      </c>
      <c r="F133" s="6" t="e">
        <f>'Tab1'!#REF!</f>
        <v>#REF!</v>
      </c>
      <c r="G133" s="91" t="e">
        <f>1/'Tab1'!#REF!</f>
        <v>#REF!</v>
      </c>
      <c r="H133" s="91" t="e">
        <f>IF(G133="","",'Tab1'!#REF!)</f>
        <v>#REF!</v>
      </c>
      <c r="I133" s="91" t="e">
        <f>IF(H133="","",'Tab1'!#REF!)</f>
        <v>#REF!</v>
      </c>
      <c r="J133" s="91" t="e">
        <f>IF(I133="","",'Tab1'!#REF!)</f>
        <v>#REF!</v>
      </c>
      <c r="K133" s="91" t="e">
        <f>IF(J133="","",'Tab1'!#REF!)</f>
        <v>#REF!</v>
      </c>
      <c r="L133" s="55"/>
      <c r="M133" s="55"/>
      <c r="N133" s="55"/>
      <c r="O133" s="7"/>
      <c r="P133" s="7"/>
      <c r="Q133" s="7"/>
      <c r="R133" s="7"/>
      <c r="S133" s="7"/>
      <c r="T133" s="7"/>
      <c r="U133" s="7"/>
      <c r="V133" s="5"/>
      <c r="W133" s="98"/>
      <c r="X133" s="98"/>
      <c r="Y133" s="98"/>
      <c r="Z133" s="98"/>
    </row>
    <row r="134" spans="1:26" ht="14.25" customHeight="1" x14ac:dyDescent="0.15">
      <c r="A134" s="344" t="e">
        <f>'Tab1'!#REF!</f>
        <v>#REF!</v>
      </c>
      <c r="B134" s="91" t="e">
        <f>IF('Tab1'!#REF!&lt;&gt;"",'Tab1'!#REF!,"")</f>
        <v>#REF!</v>
      </c>
      <c r="C134" s="91" t="e">
        <f>'Tab1'!#REF!</f>
        <v>#REF!</v>
      </c>
      <c r="D134" s="91" t="e">
        <f>'Tab1'!#REF!</f>
        <v>#REF!</v>
      </c>
      <c r="E134" s="91" t="e">
        <f>IF('Tab1'!#REF!&lt;0,"",'Tab1'!#REF!)</f>
        <v>#REF!</v>
      </c>
      <c r="F134" s="6" t="e">
        <f>'Tab1'!#REF!</f>
        <v>#REF!</v>
      </c>
      <c r="G134" s="91" t="e">
        <f>1/'Tab1'!#REF!</f>
        <v>#REF!</v>
      </c>
      <c r="H134" s="91" t="e">
        <f>IF(G134="","",'Tab1'!#REF!)</f>
        <v>#REF!</v>
      </c>
      <c r="I134" s="91" t="e">
        <f>IF(H134="","",'Tab1'!#REF!)</f>
        <v>#REF!</v>
      </c>
      <c r="J134" s="91" t="e">
        <f>IF(I134="","",'Tab1'!#REF!)</f>
        <v>#REF!</v>
      </c>
      <c r="K134" s="91" t="e">
        <f>IF(J134="","",'Tab1'!#REF!)</f>
        <v>#REF!</v>
      </c>
      <c r="L134" s="55"/>
      <c r="M134" s="55"/>
      <c r="N134" s="55"/>
      <c r="O134" s="7"/>
      <c r="P134" s="7"/>
      <c r="Q134" s="7"/>
      <c r="R134" s="7"/>
      <c r="S134" s="7"/>
      <c r="T134" s="7"/>
      <c r="U134" s="7"/>
      <c r="V134" s="5"/>
      <c r="W134" s="98"/>
      <c r="X134" s="98"/>
      <c r="Y134" s="98"/>
      <c r="Z134" s="98"/>
    </row>
    <row r="135" spans="1:26" ht="14.25" customHeight="1" x14ac:dyDescent="0.15">
      <c r="A135" s="344" t="e">
        <f>'Tab1'!#REF!</f>
        <v>#REF!</v>
      </c>
      <c r="B135" s="91" t="e">
        <f>IF('Tab1'!#REF!&lt;&gt;"",'Tab1'!#REF!,"")</f>
        <v>#REF!</v>
      </c>
      <c r="C135" s="91" t="e">
        <f>'Tab1'!#REF!</f>
        <v>#REF!</v>
      </c>
      <c r="D135" s="91" t="e">
        <f>'Tab1'!#REF!</f>
        <v>#REF!</v>
      </c>
      <c r="E135" s="91" t="e">
        <f>IF('Tab1'!#REF!&lt;0,"",'Tab1'!#REF!)</f>
        <v>#REF!</v>
      </c>
      <c r="F135" s="6" t="e">
        <f>'Tab1'!#REF!</f>
        <v>#REF!</v>
      </c>
      <c r="G135" s="91" t="e">
        <f>1/'Tab1'!#REF!</f>
        <v>#REF!</v>
      </c>
      <c r="H135" s="91" t="e">
        <f>IF(G135="","",'Tab1'!#REF!)</f>
        <v>#REF!</v>
      </c>
      <c r="I135" s="91" t="e">
        <f>IF(H135="","",'Tab1'!#REF!)</f>
        <v>#REF!</v>
      </c>
      <c r="J135" s="91" t="e">
        <f>IF(I135="","",'Tab1'!#REF!)</f>
        <v>#REF!</v>
      </c>
      <c r="K135" s="91" t="e">
        <f>IF(J135="","",'Tab1'!#REF!)</f>
        <v>#REF!</v>
      </c>
      <c r="L135" s="55"/>
      <c r="M135" s="55"/>
      <c r="N135" s="55"/>
      <c r="O135" s="7"/>
      <c r="P135" s="7"/>
      <c r="Q135" s="7"/>
      <c r="R135" s="7"/>
      <c r="S135" s="7"/>
      <c r="T135" s="7"/>
      <c r="U135" s="7"/>
      <c r="V135" s="5"/>
      <c r="W135" s="98"/>
      <c r="X135" s="98"/>
      <c r="Y135" s="98"/>
      <c r="Z135" s="98"/>
    </row>
    <row r="136" spans="1:26" ht="14.25" customHeight="1" x14ac:dyDescent="0.15">
      <c r="A136" s="344" t="e">
        <f>'Tab1'!#REF!</f>
        <v>#REF!</v>
      </c>
      <c r="B136" s="91" t="e">
        <f>IF('Tab1'!#REF!&lt;&gt;"",'Tab1'!#REF!,"")</f>
        <v>#REF!</v>
      </c>
      <c r="C136" s="91" t="e">
        <f>'Tab1'!#REF!</f>
        <v>#REF!</v>
      </c>
      <c r="D136" s="91" t="e">
        <f>'Tab1'!#REF!</f>
        <v>#REF!</v>
      </c>
      <c r="E136" s="91" t="e">
        <f>IF('Tab1'!#REF!&lt;0,"",'Tab1'!#REF!)</f>
        <v>#REF!</v>
      </c>
      <c r="F136" s="6" t="e">
        <f>'Tab1'!#REF!</f>
        <v>#REF!</v>
      </c>
      <c r="G136" s="91" t="e">
        <f>1/'Tab1'!#REF!</f>
        <v>#REF!</v>
      </c>
      <c r="H136" s="91" t="e">
        <f>IF(G136="","",'Tab1'!#REF!)</f>
        <v>#REF!</v>
      </c>
      <c r="I136" s="91" t="e">
        <f>IF(H136="","",'Tab1'!#REF!)</f>
        <v>#REF!</v>
      </c>
      <c r="J136" s="91" t="e">
        <f>IF(I136="","",'Tab1'!#REF!)</f>
        <v>#REF!</v>
      </c>
      <c r="K136" s="91" t="e">
        <f>IF(J136="","",'Tab1'!#REF!)</f>
        <v>#REF!</v>
      </c>
      <c r="L136" s="55"/>
      <c r="M136" s="55"/>
      <c r="N136" s="55"/>
      <c r="O136" s="7"/>
      <c r="P136" s="7"/>
      <c r="Q136" s="7"/>
      <c r="R136" s="7"/>
      <c r="S136" s="7"/>
      <c r="T136" s="7"/>
      <c r="U136" s="7"/>
      <c r="V136" s="5"/>
      <c r="W136" s="98"/>
      <c r="X136" s="98"/>
      <c r="Y136" s="98"/>
      <c r="Z136" s="98"/>
    </row>
    <row r="137" spans="1:26" ht="14.25" customHeight="1" x14ac:dyDescent="0.15">
      <c r="A137" s="344" t="e">
        <f>'Tab1'!#REF!</f>
        <v>#REF!</v>
      </c>
      <c r="B137" s="91" t="e">
        <f>IF('Tab1'!#REF!&lt;&gt;"",'Tab1'!#REF!,"")</f>
        <v>#REF!</v>
      </c>
      <c r="C137" s="91" t="e">
        <f>'Tab1'!#REF!</f>
        <v>#REF!</v>
      </c>
      <c r="D137" s="91" t="e">
        <f>'Tab1'!#REF!</f>
        <v>#REF!</v>
      </c>
      <c r="E137" s="91" t="e">
        <f>IF('Tab1'!#REF!&lt;0,"",'Tab1'!#REF!)</f>
        <v>#REF!</v>
      </c>
      <c r="F137" s="6" t="e">
        <f>'Tab1'!#REF!</f>
        <v>#REF!</v>
      </c>
      <c r="G137" s="91" t="e">
        <f>1/'Tab1'!#REF!</f>
        <v>#REF!</v>
      </c>
      <c r="H137" s="91" t="e">
        <f>IF(G137="","",'Tab1'!#REF!)</f>
        <v>#REF!</v>
      </c>
      <c r="I137" s="91" t="e">
        <f>IF(H137="","",'Tab1'!#REF!)</f>
        <v>#REF!</v>
      </c>
      <c r="J137" s="91" t="e">
        <f>IF(I137="","",'Tab1'!#REF!)</f>
        <v>#REF!</v>
      </c>
      <c r="K137" s="91" t="e">
        <f>IF(J137="","",'Tab1'!#REF!)</f>
        <v>#REF!</v>
      </c>
      <c r="L137" s="55"/>
      <c r="M137" s="55"/>
      <c r="N137" s="55"/>
      <c r="O137" s="7"/>
      <c r="P137" s="7"/>
      <c r="Q137" s="7"/>
      <c r="R137" s="7"/>
      <c r="S137" s="7"/>
      <c r="T137" s="7"/>
      <c r="U137" s="7"/>
      <c r="V137" s="5"/>
      <c r="W137" s="98"/>
      <c r="X137" s="98"/>
      <c r="Y137" s="98"/>
      <c r="Z137" s="98"/>
    </row>
    <row r="138" spans="1:26" ht="14.25" customHeight="1" x14ac:dyDescent="0.15">
      <c r="A138" s="344" t="e">
        <f>'Tab1'!#REF!</f>
        <v>#REF!</v>
      </c>
      <c r="B138" s="91" t="e">
        <f>IF('Tab1'!#REF!&lt;&gt;"",'Tab1'!#REF!,"")</f>
        <v>#REF!</v>
      </c>
      <c r="C138" s="91" t="e">
        <f>'Tab1'!#REF!</f>
        <v>#REF!</v>
      </c>
      <c r="D138" s="91" t="e">
        <f>'Tab1'!#REF!</f>
        <v>#REF!</v>
      </c>
      <c r="E138" s="91" t="e">
        <f>IF('Tab1'!#REF!&lt;0,"",'Tab1'!#REF!)</f>
        <v>#REF!</v>
      </c>
      <c r="F138" s="6" t="e">
        <f>'Tab1'!#REF!</f>
        <v>#REF!</v>
      </c>
      <c r="G138" s="91" t="e">
        <f>1/'Tab1'!#REF!</f>
        <v>#REF!</v>
      </c>
      <c r="H138" s="91" t="e">
        <f>IF(G138="","",'Tab1'!#REF!)</f>
        <v>#REF!</v>
      </c>
      <c r="I138" s="91" t="e">
        <f>IF(H138="","",'Tab1'!#REF!)</f>
        <v>#REF!</v>
      </c>
      <c r="J138" s="91" t="e">
        <f>IF(I138="","",'Tab1'!#REF!)</f>
        <v>#REF!</v>
      </c>
      <c r="K138" s="91" t="e">
        <f>IF(J138="","",'Tab1'!#REF!)</f>
        <v>#REF!</v>
      </c>
      <c r="L138" s="55"/>
      <c r="M138" s="55"/>
      <c r="N138" s="55"/>
      <c r="O138" s="7"/>
      <c r="P138" s="7"/>
      <c r="Q138" s="7"/>
      <c r="R138" s="7"/>
      <c r="S138" s="7"/>
      <c r="T138" s="7"/>
      <c r="U138" s="7"/>
      <c r="V138" s="5"/>
      <c r="W138" s="98"/>
      <c r="X138" s="98"/>
      <c r="Y138" s="98"/>
      <c r="Z138" s="98"/>
    </row>
    <row r="139" spans="1:26" ht="14.25" customHeight="1" x14ac:dyDescent="0.15">
      <c r="A139" s="344" t="e">
        <f>'Tab1'!#REF!</f>
        <v>#REF!</v>
      </c>
      <c r="B139" s="91" t="e">
        <f>IF('Tab1'!#REF!&lt;&gt;"",'Tab1'!#REF!,"")</f>
        <v>#REF!</v>
      </c>
      <c r="C139" s="91" t="e">
        <f>'Tab1'!#REF!</f>
        <v>#REF!</v>
      </c>
      <c r="D139" s="91" t="e">
        <f>'Tab1'!#REF!</f>
        <v>#REF!</v>
      </c>
      <c r="E139" s="91" t="e">
        <f>IF('Tab1'!#REF!&lt;0,"",'Tab1'!#REF!)</f>
        <v>#REF!</v>
      </c>
      <c r="F139" s="6" t="e">
        <f>'Tab1'!#REF!</f>
        <v>#REF!</v>
      </c>
      <c r="G139" s="91" t="e">
        <f>1/'Tab1'!#REF!</f>
        <v>#REF!</v>
      </c>
      <c r="H139" s="91" t="e">
        <f>IF(G139="","",'Tab1'!#REF!)</f>
        <v>#REF!</v>
      </c>
      <c r="I139" s="91" t="e">
        <f>IF(H139="","",'Tab1'!#REF!)</f>
        <v>#REF!</v>
      </c>
      <c r="J139" s="91" t="e">
        <f>IF(I139="","",'Tab1'!#REF!)</f>
        <v>#REF!</v>
      </c>
      <c r="K139" s="91" t="e">
        <f>IF(J139="","",'Tab1'!#REF!)</f>
        <v>#REF!</v>
      </c>
      <c r="L139" s="55"/>
      <c r="M139" s="55"/>
      <c r="N139" s="55"/>
      <c r="O139" s="7"/>
      <c r="P139" s="7"/>
      <c r="Q139" s="7"/>
      <c r="R139" s="7"/>
      <c r="S139" s="7"/>
      <c r="T139" s="7"/>
      <c r="U139" s="7"/>
      <c r="V139" s="5"/>
      <c r="W139" s="98"/>
      <c r="X139" s="98"/>
      <c r="Y139" s="98"/>
      <c r="Z139" s="98"/>
    </row>
    <row r="140" spans="1:26" ht="14.25" customHeight="1" x14ac:dyDescent="0.15">
      <c r="A140" s="344" t="e">
        <f>'Tab1'!#REF!</f>
        <v>#REF!</v>
      </c>
      <c r="B140" s="91" t="e">
        <f>IF('Tab1'!#REF!&lt;&gt;"",'Tab1'!#REF!,"")</f>
        <v>#REF!</v>
      </c>
      <c r="C140" s="91" t="e">
        <f>'Tab1'!#REF!</f>
        <v>#REF!</v>
      </c>
      <c r="D140" s="91" t="e">
        <f>'Tab1'!#REF!</f>
        <v>#REF!</v>
      </c>
      <c r="E140" s="91" t="e">
        <f>IF('Tab1'!#REF!&lt;0,"",'Tab1'!#REF!)</f>
        <v>#REF!</v>
      </c>
      <c r="F140" s="6" t="e">
        <f>'Tab1'!#REF!</f>
        <v>#REF!</v>
      </c>
      <c r="G140" s="91" t="e">
        <f>1/'Tab1'!#REF!</f>
        <v>#REF!</v>
      </c>
      <c r="H140" s="91" t="e">
        <f>IF(G140="","",'Tab1'!#REF!)</f>
        <v>#REF!</v>
      </c>
      <c r="I140" s="91" t="e">
        <f>IF(H140="","",'Tab1'!#REF!)</f>
        <v>#REF!</v>
      </c>
      <c r="J140" s="91" t="e">
        <f>IF(I140="","",'Tab1'!#REF!)</f>
        <v>#REF!</v>
      </c>
      <c r="K140" s="91" t="e">
        <f>IF(J140="","",'Tab1'!#REF!)</f>
        <v>#REF!</v>
      </c>
      <c r="L140" s="55"/>
      <c r="M140" s="55"/>
      <c r="N140" s="55"/>
      <c r="O140" s="7"/>
      <c r="P140" s="7"/>
      <c r="Q140" s="7"/>
      <c r="R140" s="7"/>
      <c r="S140" s="7"/>
      <c r="T140" s="7"/>
      <c r="U140" s="7"/>
      <c r="V140" s="5"/>
      <c r="W140" s="98"/>
      <c r="X140" s="98"/>
      <c r="Y140" s="98"/>
      <c r="Z140" s="98"/>
    </row>
    <row r="141" spans="1:26" ht="14.25" customHeight="1" x14ac:dyDescent="0.15">
      <c r="A141" s="344" t="e">
        <f>'Tab1'!#REF!</f>
        <v>#REF!</v>
      </c>
      <c r="B141" s="91" t="e">
        <f>IF('Tab1'!#REF!&lt;&gt;"",'Tab1'!#REF!,"")</f>
        <v>#REF!</v>
      </c>
      <c r="C141" s="91" t="e">
        <f>'Tab1'!#REF!</f>
        <v>#REF!</v>
      </c>
      <c r="D141" s="91" t="e">
        <f>'Tab1'!#REF!</f>
        <v>#REF!</v>
      </c>
      <c r="E141" s="91" t="e">
        <f>IF('Tab1'!#REF!&lt;0,"",'Tab1'!#REF!)</f>
        <v>#REF!</v>
      </c>
      <c r="F141" s="6" t="e">
        <f>'Tab1'!#REF!</f>
        <v>#REF!</v>
      </c>
      <c r="G141" s="91" t="e">
        <f>1/'Tab1'!#REF!</f>
        <v>#REF!</v>
      </c>
      <c r="H141" s="91" t="e">
        <f>IF(G141="","",'Tab1'!#REF!)</f>
        <v>#REF!</v>
      </c>
      <c r="I141" s="91" t="e">
        <f>IF(H141="","",'Tab1'!#REF!)</f>
        <v>#REF!</v>
      </c>
      <c r="J141" s="91" t="e">
        <f>IF(I141="","",'Tab1'!#REF!)</f>
        <v>#REF!</v>
      </c>
      <c r="K141" s="91" t="e">
        <f>IF(J141="","",'Tab1'!#REF!)</f>
        <v>#REF!</v>
      </c>
      <c r="L141" s="55"/>
      <c r="M141" s="55"/>
      <c r="N141" s="55"/>
      <c r="O141" s="7"/>
      <c r="P141" s="7"/>
      <c r="Q141" s="7"/>
      <c r="R141" s="7"/>
      <c r="S141" s="7"/>
      <c r="T141" s="7"/>
      <c r="U141" s="7"/>
      <c r="V141" s="5"/>
      <c r="W141" s="98"/>
      <c r="X141" s="98"/>
      <c r="Y141" s="98"/>
      <c r="Z141" s="98"/>
    </row>
    <row r="142" spans="1:26" ht="14.25" customHeight="1" x14ac:dyDescent="0.15">
      <c r="A142" s="344" t="e">
        <f>'Tab1'!#REF!</f>
        <v>#REF!</v>
      </c>
      <c r="B142" s="91" t="e">
        <f>IF('Tab1'!#REF!&lt;&gt;"",'Tab1'!#REF!,"")</f>
        <v>#REF!</v>
      </c>
      <c r="C142" s="91" t="e">
        <f>'Tab1'!#REF!</f>
        <v>#REF!</v>
      </c>
      <c r="D142" s="91" t="e">
        <f>'Tab1'!#REF!</f>
        <v>#REF!</v>
      </c>
      <c r="E142" s="91" t="e">
        <f>IF('Tab1'!#REF!&lt;0,"",'Tab1'!#REF!)</f>
        <v>#REF!</v>
      </c>
      <c r="F142" s="6" t="e">
        <f>'Tab1'!#REF!</f>
        <v>#REF!</v>
      </c>
      <c r="G142" s="91" t="e">
        <f>1/'Tab1'!#REF!</f>
        <v>#REF!</v>
      </c>
      <c r="H142" s="91" t="e">
        <f>IF(G142="","",'Tab1'!#REF!)</f>
        <v>#REF!</v>
      </c>
      <c r="I142" s="91" t="e">
        <f>IF(H142="","",'Tab1'!#REF!)</f>
        <v>#REF!</v>
      </c>
      <c r="J142" s="91" t="e">
        <f>IF(I142="","",'Tab1'!#REF!)</f>
        <v>#REF!</v>
      </c>
      <c r="K142" s="91" t="e">
        <f>IF(J142="","",'Tab1'!#REF!)</f>
        <v>#REF!</v>
      </c>
      <c r="L142" s="55"/>
      <c r="M142" s="55"/>
      <c r="N142" s="55"/>
      <c r="O142" s="7"/>
      <c r="P142" s="7"/>
      <c r="Q142" s="7"/>
      <c r="R142" s="7"/>
      <c r="S142" s="7"/>
      <c r="T142" s="7"/>
      <c r="U142" s="7"/>
      <c r="V142" s="5"/>
      <c r="W142" s="98"/>
      <c r="X142" s="98"/>
      <c r="Y142" s="98"/>
      <c r="Z142" s="98"/>
    </row>
    <row r="143" spans="1:26" ht="14.25" customHeight="1" x14ac:dyDescent="0.15">
      <c r="A143" s="344" t="e">
        <f>'Tab1'!#REF!</f>
        <v>#REF!</v>
      </c>
      <c r="B143" s="91" t="e">
        <f>IF('Tab1'!#REF!&lt;&gt;"",'Tab1'!#REF!,"")</f>
        <v>#REF!</v>
      </c>
      <c r="C143" s="91" t="e">
        <f>'Tab1'!#REF!</f>
        <v>#REF!</v>
      </c>
      <c r="D143" s="91" t="e">
        <f>'Tab1'!#REF!</f>
        <v>#REF!</v>
      </c>
      <c r="E143" s="91" t="e">
        <f>IF('Tab1'!#REF!&lt;0,"",'Tab1'!#REF!)</f>
        <v>#REF!</v>
      </c>
      <c r="F143" s="6" t="e">
        <f>'Tab1'!#REF!</f>
        <v>#REF!</v>
      </c>
      <c r="G143" s="91" t="e">
        <f>1/'Tab1'!#REF!</f>
        <v>#REF!</v>
      </c>
      <c r="H143" s="91" t="e">
        <f>IF(G143="","",'Tab1'!#REF!)</f>
        <v>#REF!</v>
      </c>
      <c r="I143" s="91" t="e">
        <f>IF(H143="","",'Tab1'!#REF!)</f>
        <v>#REF!</v>
      </c>
      <c r="J143" s="91" t="e">
        <f>IF(I143="","",'Tab1'!#REF!)</f>
        <v>#REF!</v>
      </c>
      <c r="K143" s="91" t="e">
        <f>IF(J143="","",'Tab1'!#REF!)</f>
        <v>#REF!</v>
      </c>
      <c r="L143" s="55"/>
      <c r="M143" s="55"/>
      <c r="N143" s="55"/>
      <c r="O143" s="7"/>
      <c r="P143" s="7"/>
      <c r="Q143" s="7"/>
      <c r="R143" s="7"/>
      <c r="S143" s="7"/>
      <c r="T143" s="7"/>
      <c r="U143" s="7"/>
      <c r="V143" s="5"/>
      <c r="W143" s="98"/>
      <c r="X143" s="98"/>
      <c r="Y143" s="98"/>
      <c r="Z143" s="98"/>
    </row>
    <row r="144" spans="1:26" ht="14.25" customHeight="1" x14ac:dyDescent="0.15">
      <c r="A144" s="344" t="e">
        <f>'Tab1'!#REF!</f>
        <v>#REF!</v>
      </c>
      <c r="B144" s="91" t="e">
        <f>IF('Tab1'!#REF!&lt;&gt;"",'Tab1'!#REF!,"")</f>
        <v>#REF!</v>
      </c>
      <c r="C144" s="91" t="e">
        <f>'Tab1'!#REF!</f>
        <v>#REF!</v>
      </c>
      <c r="D144" s="91" t="e">
        <f>'Tab1'!#REF!</f>
        <v>#REF!</v>
      </c>
      <c r="E144" s="91" t="e">
        <f>IF('Tab1'!#REF!&lt;0,"",'Tab1'!#REF!)</f>
        <v>#REF!</v>
      </c>
      <c r="F144" s="6" t="e">
        <f>'Tab1'!#REF!</f>
        <v>#REF!</v>
      </c>
      <c r="G144" s="91" t="e">
        <f>1/'Tab1'!#REF!</f>
        <v>#REF!</v>
      </c>
      <c r="H144" s="91" t="e">
        <f>IF(G144="","",'Tab1'!#REF!)</f>
        <v>#REF!</v>
      </c>
      <c r="I144" s="91" t="e">
        <f>IF(H144="","",'Tab1'!#REF!)</f>
        <v>#REF!</v>
      </c>
      <c r="J144" s="91" t="e">
        <f>IF(I144="","",'Tab1'!#REF!)</f>
        <v>#REF!</v>
      </c>
      <c r="K144" s="91" t="e">
        <f>IF(J144="","",'Tab1'!#REF!)</f>
        <v>#REF!</v>
      </c>
      <c r="L144" s="55"/>
      <c r="M144" s="55"/>
      <c r="N144" s="55"/>
      <c r="O144" s="7"/>
      <c r="P144" s="7"/>
      <c r="Q144" s="7"/>
      <c r="R144" s="7"/>
      <c r="S144" s="7"/>
      <c r="T144" s="7"/>
      <c r="U144" s="7"/>
      <c r="V144" s="5"/>
      <c r="W144" s="98"/>
      <c r="X144" s="98"/>
      <c r="Y144" s="98"/>
      <c r="Z144" s="98"/>
    </row>
    <row r="145" spans="1:26" ht="14.25" customHeight="1" x14ac:dyDescent="0.15">
      <c r="A145" s="344" t="e">
        <f>'Tab1'!#REF!</f>
        <v>#REF!</v>
      </c>
      <c r="B145" s="91" t="e">
        <f>IF('Tab1'!#REF!&lt;&gt;"",'Tab1'!#REF!,"")</f>
        <v>#REF!</v>
      </c>
      <c r="C145" s="91" t="e">
        <f>'Tab1'!#REF!</f>
        <v>#REF!</v>
      </c>
      <c r="D145" s="91" t="e">
        <f>'Tab1'!#REF!</f>
        <v>#REF!</v>
      </c>
      <c r="E145" s="91" t="e">
        <f>IF('Tab1'!#REF!&lt;0,"",'Tab1'!#REF!)</f>
        <v>#REF!</v>
      </c>
      <c r="F145" s="6" t="e">
        <f>'Tab1'!#REF!</f>
        <v>#REF!</v>
      </c>
      <c r="G145" s="91" t="e">
        <f>1/'Tab1'!#REF!</f>
        <v>#REF!</v>
      </c>
      <c r="H145" s="91" t="e">
        <f>IF(G145="","",'Tab1'!#REF!)</f>
        <v>#REF!</v>
      </c>
      <c r="I145" s="91" t="e">
        <f>IF(H145="","",'Tab1'!#REF!)</f>
        <v>#REF!</v>
      </c>
      <c r="J145" s="91" t="e">
        <f>IF(I145="","",'Tab1'!#REF!)</f>
        <v>#REF!</v>
      </c>
      <c r="K145" s="91" t="e">
        <f>IF(J145="","",'Tab1'!#REF!)</f>
        <v>#REF!</v>
      </c>
      <c r="L145" s="55"/>
      <c r="M145" s="55"/>
      <c r="N145" s="55"/>
      <c r="O145" s="7"/>
      <c r="P145" s="7"/>
      <c r="Q145" s="7"/>
      <c r="R145" s="7"/>
      <c r="S145" s="7"/>
      <c r="T145" s="7"/>
      <c r="U145" s="7"/>
      <c r="V145" s="5"/>
      <c r="W145" s="98"/>
      <c r="X145" s="98"/>
      <c r="Y145" s="98"/>
      <c r="Z145" s="98"/>
    </row>
    <row r="146" spans="1:26" ht="14.25" customHeight="1" x14ac:dyDescent="0.15">
      <c r="A146" s="344" t="e">
        <f>'Tab1'!#REF!</f>
        <v>#REF!</v>
      </c>
      <c r="B146" s="91" t="e">
        <f>IF('Tab1'!#REF!&lt;&gt;"",'Tab1'!#REF!,"")</f>
        <v>#REF!</v>
      </c>
      <c r="C146" s="91" t="e">
        <f>'Tab1'!#REF!</f>
        <v>#REF!</v>
      </c>
      <c r="D146" s="91" t="e">
        <f>'Tab1'!#REF!</f>
        <v>#REF!</v>
      </c>
      <c r="E146" s="91" t="e">
        <f>IF('Tab1'!#REF!&lt;0,"",'Tab1'!#REF!)</f>
        <v>#REF!</v>
      </c>
      <c r="F146" s="6" t="e">
        <f>'Tab1'!#REF!</f>
        <v>#REF!</v>
      </c>
      <c r="G146" s="91" t="e">
        <f>1/'Tab1'!#REF!</f>
        <v>#REF!</v>
      </c>
      <c r="H146" s="91" t="e">
        <f>IF(G146="","",'Tab1'!#REF!)</f>
        <v>#REF!</v>
      </c>
      <c r="I146" s="91" t="e">
        <f>IF(H146="","",'Tab1'!#REF!)</f>
        <v>#REF!</v>
      </c>
      <c r="J146" s="91" t="e">
        <f>IF(I146="","",'Tab1'!#REF!)</f>
        <v>#REF!</v>
      </c>
      <c r="K146" s="91" t="e">
        <f>IF(J146="","",'Tab1'!#REF!)</f>
        <v>#REF!</v>
      </c>
      <c r="L146" s="55"/>
      <c r="M146" s="55"/>
      <c r="N146" s="55"/>
      <c r="O146" s="7"/>
      <c r="P146" s="7"/>
      <c r="Q146" s="7"/>
      <c r="R146" s="7"/>
      <c r="S146" s="7"/>
      <c r="T146" s="7"/>
      <c r="U146" s="7"/>
      <c r="V146" s="5"/>
      <c r="W146" s="98"/>
      <c r="X146" s="98"/>
      <c r="Y146" s="98"/>
      <c r="Z146" s="98"/>
    </row>
    <row r="147" spans="1:26" ht="14.25" customHeight="1" x14ac:dyDescent="0.15">
      <c r="A147" s="344" t="e">
        <f>'Tab1'!#REF!</f>
        <v>#REF!</v>
      </c>
      <c r="B147" s="91" t="e">
        <f>IF('Tab1'!#REF!&lt;&gt;"",'Tab1'!#REF!,"")</f>
        <v>#REF!</v>
      </c>
      <c r="C147" s="91" t="e">
        <f>'Tab1'!#REF!</f>
        <v>#REF!</v>
      </c>
      <c r="D147" s="91" t="e">
        <f>'Tab1'!#REF!</f>
        <v>#REF!</v>
      </c>
      <c r="E147" s="91" t="e">
        <f>IF('Tab1'!#REF!&lt;0,"",'Tab1'!#REF!)</f>
        <v>#REF!</v>
      </c>
      <c r="F147" s="6" t="e">
        <f>'Tab1'!#REF!</f>
        <v>#REF!</v>
      </c>
      <c r="G147" s="91" t="e">
        <f>1/'Tab1'!#REF!</f>
        <v>#REF!</v>
      </c>
      <c r="H147" s="91" t="e">
        <f>IF(G147="","",'Tab1'!#REF!)</f>
        <v>#REF!</v>
      </c>
      <c r="I147" s="91" t="e">
        <f>IF(H147="","",'Tab1'!#REF!)</f>
        <v>#REF!</v>
      </c>
      <c r="J147" s="91" t="e">
        <f>IF(I147="","",'Tab1'!#REF!)</f>
        <v>#REF!</v>
      </c>
      <c r="K147" s="91" t="e">
        <f>IF(J147="","",'Tab1'!#REF!)</f>
        <v>#REF!</v>
      </c>
      <c r="L147" s="55"/>
      <c r="M147" s="55"/>
      <c r="N147" s="55"/>
      <c r="O147" s="7"/>
      <c r="P147" s="7"/>
      <c r="Q147" s="7"/>
      <c r="R147" s="7"/>
      <c r="S147" s="7"/>
      <c r="T147" s="7"/>
      <c r="U147" s="7"/>
      <c r="V147" s="5"/>
      <c r="W147" s="98"/>
      <c r="X147" s="98"/>
      <c r="Y147" s="98"/>
      <c r="Z147" s="98"/>
    </row>
    <row r="148" spans="1:26" ht="14.25" customHeight="1" x14ac:dyDescent="0.15">
      <c r="A148" s="344" t="e">
        <f>'Tab1'!#REF!</f>
        <v>#REF!</v>
      </c>
      <c r="B148" s="91" t="e">
        <f>IF('Tab1'!#REF!&lt;&gt;"",'Tab1'!#REF!,"")</f>
        <v>#REF!</v>
      </c>
      <c r="C148" s="91" t="e">
        <f>'Tab1'!#REF!</f>
        <v>#REF!</v>
      </c>
      <c r="D148" s="91" t="e">
        <f>'Tab1'!#REF!</f>
        <v>#REF!</v>
      </c>
      <c r="E148" s="91" t="e">
        <f>IF('Tab1'!#REF!&lt;0,"",'Tab1'!#REF!)</f>
        <v>#REF!</v>
      </c>
      <c r="F148" s="6" t="e">
        <f>'Tab1'!#REF!</f>
        <v>#REF!</v>
      </c>
      <c r="G148" s="91" t="e">
        <f>1/'Tab1'!#REF!</f>
        <v>#REF!</v>
      </c>
      <c r="H148" s="91" t="e">
        <f>IF(G148="","",'Tab1'!#REF!)</f>
        <v>#REF!</v>
      </c>
      <c r="I148" s="91" t="e">
        <f>IF(H148="","",'Tab1'!#REF!)</f>
        <v>#REF!</v>
      </c>
      <c r="J148" s="91" t="e">
        <f>IF(I148="","",'Tab1'!#REF!)</f>
        <v>#REF!</v>
      </c>
      <c r="K148" s="91" t="e">
        <f>IF(J148="","",'Tab1'!#REF!)</f>
        <v>#REF!</v>
      </c>
      <c r="L148" s="55"/>
      <c r="M148" s="55"/>
      <c r="N148" s="55"/>
      <c r="O148" s="7"/>
      <c r="P148" s="7"/>
      <c r="Q148" s="7"/>
      <c r="R148" s="7"/>
      <c r="S148" s="7"/>
      <c r="T148" s="7"/>
      <c r="U148" s="7"/>
      <c r="V148" s="5"/>
      <c r="W148" s="98"/>
      <c r="X148" s="98"/>
      <c r="Y148" s="98"/>
      <c r="Z148" s="98"/>
    </row>
    <row r="149" spans="1:26" ht="14.25" customHeight="1" x14ac:dyDescent="0.15">
      <c r="A149" s="344" t="e">
        <f>'Tab1'!#REF!</f>
        <v>#REF!</v>
      </c>
      <c r="B149" s="91" t="e">
        <f>IF('Tab1'!#REF!&lt;&gt;"",'Tab1'!#REF!,"")</f>
        <v>#REF!</v>
      </c>
      <c r="C149" s="91" t="e">
        <f>'Tab1'!#REF!</f>
        <v>#REF!</v>
      </c>
      <c r="D149" s="91" t="e">
        <f>'Tab1'!#REF!</f>
        <v>#REF!</v>
      </c>
      <c r="E149" s="91" t="e">
        <f>IF('Tab1'!#REF!&lt;0,"",'Tab1'!#REF!)</f>
        <v>#REF!</v>
      </c>
      <c r="F149" s="6" t="e">
        <f>'Tab1'!#REF!</f>
        <v>#REF!</v>
      </c>
      <c r="G149" s="91" t="e">
        <f>1/'Tab1'!#REF!</f>
        <v>#REF!</v>
      </c>
      <c r="H149" s="91" t="e">
        <f>IF(G149="","",'Tab1'!#REF!)</f>
        <v>#REF!</v>
      </c>
      <c r="I149" s="91" t="e">
        <f>IF(H149="","",'Tab1'!#REF!)</f>
        <v>#REF!</v>
      </c>
      <c r="J149" s="91" t="e">
        <f>IF(I149="","",'Tab1'!#REF!)</f>
        <v>#REF!</v>
      </c>
      <c r="K149" s="91" t="e">
        <f>IF(J149="","",'Tab1'!#REF!)</f>
        <v>#REF!</v>
      </c>
      <c r="L149" s="55"/>
      <c r="M149" s="55"/>
      <c r="N149" s="55"/>
      <c r="O149" s="7"/>
      <c r="P149" s="7"/>
      <c r="Q149" s="7"/>
      <c r="R149" s="7"/>
      <c r="S149" s="7"/>
      <c r="T149" s="7"/>
      <c r="U149" s="7"/>
      <c r="V149" s="5"/>
      <c r="W149" s="98"/>
      <c r="X149" s="98"/>
      <c r="Y149" s="98"/>
      <c r="Z149" s="98"/>
    </row>
    <row r="150" spans="1:26" ht="14.25" customHeight="1" x14ac:dyDescent="0.15">
      <c r="A150" s="344" t="e">
        <f>'Tab1'!#REF!</f>
        <v>#REF!</v>
      </c>
      <c r="B150" s="91" t="e">
        <f>IF('Tab1'!#REF!&lt;&gt;"",'Tab1'!#REF!,"")</f>
        <v>#REF!</v>
      </c>
      <c r="C150" s="91" t="e">
        <f>'Tab1'!#REF!</f>
        <v>#REF!</v>
      </c>
      <c r="D150" s="91" t="e">
        <f>'Tab1'!#REF!</f>
        <v>#REF!</v>
      </c>
      <c r="E150" s="91" t="e">
        <f>IF('Tab1'!#REF!&lt;0,"",'Tab1'!#REF!)</f>
        <v>#REF!</v>
      </c>
      <c r="F150" s="6" t="e">
        <f>'Tab1'!#REF!</f>
        <v>#REF!</v>
      </c>
      <c r="G150" s="91" t="e">
        <f>1/'Tab1'!#REF!</f>
        <v>#REF!</v>
      </c>
      <c r="H150" s="91" t="e">
        <f>IF(G150="","",'Tab1'!#REF!)</f>
        <v>#REF!</v>
      </c>
      <c r="I150" s="91" t="e">
        <f>IF(H150="","",'Tab1'!#REF!)</f>
        <v>#REF!</v>
      </c>
      <c r="J150" s="91" t="e">
        <f>IF(I150="","",'Tab1'!#REF!)</f>
        <v>#REF!</v>
      </c>
      <c r="K150" s="91" t="e">
        <f>IF(J150="","",'Tab1'!#REF!)</f>
        <v>#REF!</v>
      </c>
      <c r="L150" s="55"/>
      <c r="M150" s="55"/>
      <c r="N150" s="55"/>
      <c r="O150" s="7"/>
      <c r="P150" s="7"/>
      <c r="Q150" s="7"/>
      <c r="R150" s="7"/>
      <c r="S150" s="7"/>
      <c r="T150" s="7"/>
      <c r="U150" s="7"/>
      <c r="V150" s="5"/>
      <c r="W150" s="98"/>
      <c r="X150" s="98"/>
      <c r="Y150" s="98"/>
      <c r="Z150" s="98"/>
    </row>
    <row r="151" spans="1:26" ht="14.25" customHeight="1" x14ac:dyDescent="0.15">
      <c r="A151" s="344" t="e">
        <f>'Tab1'!#REF!</f>
        <v>#REF!</v>
      </c>
      <c r="B151" s="91" t="e">
        <f>IF('Tab1'!#REF!&lt;&gt;"",'Tab1'!#REF!,"")</f>
        <v>#REF!</v>
      </c>
      <c r="C151" s="91" t="e">
        <f>'Tab1'!#REF!</f>
        <v>#REF!</v>
      </c>
      <c r="D151" s="91" t="e">
        <f>'Tab1'!#REF!</f>
        <v>#REF!</v>
      </c>
      <c r="E151" s="91" t="e">
        <f>IF('Tab1'!#REF!&lt;0,"",'Tab1'!#REF!)</f>
        <v>#REF!</v>
      </c>
      <c r="F151" s="6" t="e">
        <f>'Tab1'!#REF!</f>
        <v>#REF!</v>
      </c>
      <c r="G151" s="91" t="e">
        <f>1/'Tab1'!#REF!</f>
        <v>#REF!</v>
      </c>
      <c r="H151" s="91" t="e">
        <f>IF(G151="","",'Tab1'!#REF!)</f>
        <v>#REF!</v>
      </c>
      <c r="I151" s="91" t="e">
        <f>IF(H151="","",'Tab1'!#REF!)</f>
        <v>#REF!</v>
      </c>
      <c r="J151" s="91" t="e">
        <f>IF(I151="","",'Tab1'!#REF!)</f>
        <v>#REF!</v>
      </c>
      <c r="K151" s="91" t="e">
        <f>IF(J151="","",'Tab1'!#REF!)</f>
        <v>#REF!</v>
      </c>
      <c r="L151" s="55"/>
      <c r="M151" s="55"/>
      <c r="N151" s="55"/>
      <c r="O151" s="7"/>
      <c r="P151" s="7"/>
      <c r="Q151" s="7"/>
      <c r="R151" s="7"/>
      <c r="S151" s="7"/>
      <c r="T151" s="7"/>
      <c r="U151" s="7"/>
      <c r="V151" s="5"/>
      <c r="W151" s="98"/>
      <c r="X151" s="98"/>
      <c r="Y151" s="98"/>
      <c r="Z151" s="98"/>
    </row>
    <row r="152" spans="1:26" ht="14.25" customHeight="1" x14ac:dyDescent="0.15">
      <c r="A152" s="344" t="e">
        <f>'Tab1'!#REF!</f>
        <v>#REF!</v>
      </c>
      <c r="B152" s="91" t="e">
        <f>IF('Tab1'!#REF!&lt;&gt;"",'Tab1'!#REF!,"")</f>
        <v>#REF!</v>
      </c>
      <c r="C152" s="91" t="e">
        <f>'Tab1'!#REF!</f>
        <v>#REF!</v>
      </c>
      <c r="D152" s="91" t="e">
        <f>'Tab1'!#REF!</f>
        <v>#REF!</v>
      </c>
      <c r="E152" s="91" t="e">
        <f>IF('Tab1'!#REF!&lt;0,"",'Tab1'!#REF!)</f>
        <v>#REF!</v>
      </c>
      <c r="F152" s="6" t="e">
        <f>'Tab1'!#REF!</f>
        <v>#REF!</v>
      </c>
      <c r="G152" s="91" t="e">
        <f>1/'Tab1'!#REF!</f>
        <v>#REF!</v>
      </c>
      <c r="H152" s="91" t="e">
        <f>IF(G152="","",'Tab1'!#REF!)</f>
        <v>#REF!</v>
      </c>
      <c r="I152" s="91" t="e">
        <f>IF(H152="","",'Tab1'!#REF!)</f>
        <v>#REF!</v>
      </c>
      <c r="J152" s="91" t="e">
        <f>IF(I152="","",'Tab1'!#REF!)</f>
        <v>#REF!</v>
      </c>
      <c r="K152" s="91" t="e">
        <f>IF(J152="","",'Tab1'!#REF!)</f>
        <v>#REF!</v>
      </c>
      <c r="L152" s="55"/>
      <c r="M152" s="55"/>
      <c r="N152" s="55"/>
      <c r="O152" s="7"/>
      <c r="P152" s="7"/>
      <c r="Q152" s="7"/>
      <c r="R152" s="7"/>
      <c r="S152" s="7"/>
      <c r="T152" s="7"/>
      <c r="U152" s="7"/>
      <c r="V152" s="5"/>
      <c r="W152" s="98"/>
      <c r="X152" s="98"/>
      <c r="Y152" s="98"/>
      <c r="Z152" s="98"/>
    </row>
    <row r="153" spans="1:26" ht="14.25" customHeight="1" x14ac:dyDescent="0.15">
      <c r="A153" s="344" t="e">
        <f>'Tab1'!#REF!</f>
        <v>#REF!</v>
      </c>
      <c r="B153" s="91" t="e">
        <f>IF('Tab1'!#REF!&lt;&gt;"",'Tab1'!#REF!,"")</f>
        <v>#REF!</v>
      </c>
      <c r="C153" s="91" t="e">
        <f>'Tab1'!#REF!</f>
        <v>#REF!</v>
      </c>
      <c r="D153" s="91" t="e">
        <f>'Tab1'!#REF!</f>
        <v>#REF!</v>
      </c>
      <c r="E153" s="91" t="e">
        <f>IF('Tab1'!#REF!&lt;0,"",'Tab1'!#REF!)</f>
        <v>#REF!</v>
      </c>
      <c r="F153" s="6" t="e">
        <f>'Tab1'!#REF!</f>
        <v>#REF!</v>
      </c>
      <c r="G153" s="91" t="e">
        <f>1/'Tab1'!#REF!</f>
        <v>#REF!</v>
      </c>
      <c r="H153" s="91" t="e">
        <f>IF(G153="","",'Tab1'!#REF!)</f>
        <v>#REF!</v>
      </c>
      <c r="I153" s="91" t="e">
        <f>IF(H153="","",'Tab1'!#REF!)</f>
        <v>#REF!</v>
      </c>
      <c r="J153" s="91" t="e">
        <f>IF(I153="","",'Tab1'!#REF!)</f>
        <v>#REF!</v>
      </c>
      <c r="K153" s="91" t="e">
        <f>IF(J153="","",'Tab1'!#REF!)</f>
        <v>#REF!</v>
      </c>
      <c r="L153" s="55"/>
      <c r="M153" s="55"/>
      <c r="N153" s="55"/>
      <c r="O153" s="7"/>
      <c r="P153" s="7"/>
      <c r="Q153" s="7"/>
      <c r="R153" s="7"/>
      <c r="S153" s="7"/>
      <c r="T153" s="7"/>
      <c r="U153" s="7"/>
      <c r="V153" s="5"/>
      <c r="W153" s="98"/>
      <c r="X153" s="98"/>
      <c r="Y153" s="98"/>
      <c r="Z153" s="98"/>
    </row>
    <row r="154" spans="1:26" ht="14.25" customHeight="1" x14ac:dyDescent="0.15">
      <c r="A154" s="344" t="e">
        <f>'Tab1'!#REF!</f>
        <v>#REF!</v>
      </c>
      <c r="B154" s="91" t="e">
        <f>IF('Tab1'!#REF!&lt;&gt;"",'Tab1'!#REF!,"")</f>
        <v>#REF!</v>
      </c>
      <c r="C154" s="91" t="e">
        <f>'Tab1'!#REF!</f>
        <v>#REF!</v>
      </c>
      <c r="D154" s="91" t="e">
        <f>'Tab1'!#REF!</f>
        <v>#REF!</v>
      </c>
      <c r="E154" s="91" t="e">
        <f>IF('Tab1'!#REF!&lt;0,"",'Tab1'!#REF!)</f>
        <v>#REF!</v>
      </c>
      <c r="F154" s="6" t="e">
        <f>'Tab1'!#REF!</f>
        <v>#REF!</v>
      </c>
      <c r="G154" s="91" t="e">
        <f>1/'Tab1'!#REF!</f>
        <v>#REF!</v>
      </c>
      <c r="H154" s="91" t="e">
        <f>IF(G154="","",'Tab1'!#REF!)</f>
        <v>#REF!</v>
      </c>
      <c r="I154" s="91" t="e">
        <f>IF(H154="","",'Tab1'!#REF!)</f>
        <v>#REF!</v>
      </c>
      <c r="J154" s="91" t="e">
        <f>IF(I154="","",'Tab1'!#REF!)</f>
        <v>#REF!</v>
      </c>
      <c r="K154" s="91" t="e">
        <f>IF(J154="","",'Tab1'!#REF!)</f>
        <v>#REF!</v>
      </c>
      <c r="L154" s="55"/>
      <c r="M154" s="55"/>
      <c r="N154" s="55"/>
      <c r="O154" s="7"/>
      <c r="P154" s="7"/>
      <c r="Q154" s="7"/>
      <c r="R154" s="7"/>
      <c r="S154" s="7"/>
      <c r="T154" s="7"/>
      <c r="U154" s="7"/>
      <c r="V154" s="5"/>
      <c r="W154" s="98"/>
      <c r="X154" s="98"/>
      <c r="Y154" s="98"/>
      <c r="Z154" s="98"/>
    </row>
    <row r="155" spans="1:26" ht="14.25" customHeight="1" x14ac:dyDescent="0.15">
      <c r="A155" s="344" t="e">
        <f>'Tab1'!#REF!</f>
        <v>#REF!</v>
      </c>
      <c r="B155" s="91" t="e">
        <f>IF('Tab1'!#REF!&lt;&gt;"",'Tab1'!#REF!,"")</f>
        <v>#REF!</v>
      </c>
      <c r="C155" s="91" t="e">
        <f>'Tab1'!#REF!</f>
        <v>#REF!</v>
      </c>
      <c r="D155" s="91" t="e">
        <f>'Tab1'!#REF!</f>
        <v>#REF!</v>
      </c>
      <c r="E155" s="91" t="e">
        <f>IF('Tab1'!#REF!&lt;0,"",'Tab1'!#REF!)</f>
        <v>#REF!</v>
      </c>
      <c r="F155" s="6" t="e">
        <f>'Tab1'!#REF!</f>
        <v>#REF!</v>
      </c>
      <c r="G155" s="91" t="e">
        <f>1/'Tab1'!#REF!</f>
        <v>#REF!</v>
      </c>
      <c r="H155" s="91" t="e">
        <f>IF(G155="","",'Tab1'!#REF!)</f>
        <v>#REF!</v>
      </c>
      <c r="I155" s="91" t="e">
        <f>IF(H155="","",'Tab1'!#REF!)</f>
        <v>#REF!</v>
      </c>
      <c r="J155" s="91" t="e">
        <f>IF(I155="","",'Tab1'!#REF!)</f>
        <v>#REF!</v>
      </c>
      <c r="K155" s="91" t="e">
        <f>IF(J155="","",'Tab1'!#REF!)</f>
        <v>#REF!</v>
      </c>
      <c r="L155" s="55"/>
      <c r="M155" s="55"/>
      <c r="N155" s="55"/>
      <c r="O155" s="7"/>
      <c r="P155" s="7"/>
      <c r="Q155" s="7"/>
      <c r="R155" s="7"/>
      <c r="S155" s="7"/>
      <c r="T155" s="7"/>
      <c r="U155" s="7"/>
      <c r="V155" s="5"/>
      <c r="W155" s="98"/>
      <c r="X155" s="98"/>
      <c r="Y155" s="98"/>
      <c r="Z155" s="98"/>
    </row>
    <row r="156" spans="1:26" ht="14.25" customHeight="1" x14ac:dyDescent="0.15">
      <c r="A156" s="344" t="e">
        <f>'Tab1'!#REF!</f>
        <v>#REF!</v>
      </c>
      <c r="B156" s="91" t="e">
        <f>IF('Tab1'!#REF!&lt;&gt;"",'Tab1'!#REF!,"")</f>
        <v>#REF!</v>
      </c>
      <c r="C156" s="91" t="e">
        <f>'Tab1'!#REF!</f>
        <v>#REF!</v>
      </c>
      <c r="D156" s="91" t="e">
        <f>'Tab1'!#REF!</f>
        <v>#REF!</v>
      </c>
      <c r="E156" s="91" t="e">
        <f>IF('Tab1'!#REF!&lt;0,"",'Tab1'!#REF!)</f>
        <v>#REF!</v>
      </c>
      <c r="F156" s="6" t="e">
        <f>'Tab1'!#REF!</f>
        <v>#REF!</v>
      </c>
      <c r="G156" s="91" t="e">
        <f>1/'Tab1'!#REF!</f>
        <v>#REF!</v>
      </c>
      <c r="H156" s="91" t="e">
        <f>IF(G156="","",'Tab1'!#REF!)</f>
        <v>#REF!</v>
      </c>
      <c r="I156" s="91" t="e">
        <f>IF(H156="","",'Tab1'!#REF!)</f>
        <v>#REF!</v>
      </c>
      <c r="J156" s="91" t="e">
        <f>IF(I156="","",'Tab1'!#REF!)</f>
        <v>#REF!</v>
      </c>
      <c r="K156" s="91" t="e">
        <f>IF(J156="","",'Tab1'!#REF!)</f>
        <v>#REF!</v>
      </c>
      <c r="L156" s="55"/>
      <c r="M156" s="55"/>
      <c r="N156" s="55"/>
      <c r="O156" s="7"/>
      <c r="P156" s="7"/>
      <c r="Q156" s="7"/>
      <c r="R156" s="7"/>
      <c r="S156" s="7"/>
      <c r="T156" s="7"/>
      <c r="U156" s="7"/>
      <c r="V156" s="5"/>
      <c r="W156" s="98"/>
      <c r="X156" s="98"/>
      <c r="Y156" s="98"/>
      <c r="Z156" s="98"/>
    </row>
    <row r="157" spans="1:26" ht="14.25" customHeight="1" x14ac:dyDescent="0.15">
      <c r="A157" s="344" t="e">
        <f>'Tab1'!#REF!</f>
        <v>#REF!</v>
      </c>
      <c r="B157" s="91" t="e">
        <f>IF('Tab1'!#REF!&lt;&gt;"",'Tab1'!#REF!,"")</f>
        <v>#REF!</v>
      </c>
      <c r="C157" s="91" t="e">
        <f>'Tab1'!#REF!</f>
        <v>#REF!</v>
      </c>
      <c r="D157" s="91" t="e">
        <f>'Tab1'!#REF!</f>
        <v>#REF!</v>
      </c>
      <c r="E157" s="91" t="e">
        <f>IF('Tab1'!#REF!&lt;0,"",'Tab1'!#REF!)</f>
        <v>#REF!</v>
      </c>
      <c r="F157" s="6" t="e">
        <f>'Tab1'!#REF!</f>
        <v>#REF!</v>
      </c>
      <c r="G157" s="91" t="e">
        <f>1/'Tab1'!#REF!</f>
        <v>#REF!</v>
      </c>
      <c r="H157" s="91" t="e">
        <f>IF(G157="","",'Tab1'!#REF!)</f>
        <v>#REF!</v>
      </c>
      <c r="I157" s="91" t="e">
        <f>IF(H157="","",'Tab1'!#REF!)</f>
        <v>#REF!</v>
      </c>
      <c r="J157" s="91" t="e">
        <f>IF(I157="","",'Tab1'!#REF!)</f>
        <v>#REF!</v>
      </c>
      <c r="K157" s="91" t="e">
        <f>IF(J157="","",'Tab1'!#REF!)</f>
        <v>#REF!</v>
      </c>
      <c r="L157" s="55"/>
      <c r="M157" s="55"/>
      <c r="N157" s="55"/>
      <c r="O157" s="7"/>
      <c r="P157" s="7"/>
      <c r="Q157" s="7"/>
      <c r="R157" s="7"/>
      <c r="S157" s="7"/>
      <c r="T157" s="7"/>
      <c r="U157" s="7"/>
      <c r="V157" s="5"/>
      <c r="W157" s="98"/>
      <c r="X157" s="98"/>
      <c r="Y157" s="98"/>
      <c r="Z157" s="98"/>
    </row>
    <row r="158" spans="1:26" ht="14.25" customHeight="1" x14ac:dyDescent="0.15">
      <c r="A158" s="344" t="e">
        <f>'Tab1'!#REF!</f>
        <v>#REF!</v>
      </c>
      <c r="B158" s="91" t="e">
        <f>IF('Tab1'!#REF!&lt;&gt;"",'Tab1'!#REF!,"")</f>
        <v>#REF!</v>
      </c>
      <c r="C158" s="91" t="e">
        <f>'Tab1'!#REF!</f>
        <v>#REF!</v>
      </c>
      <c r="D158" s="91" t="e">
        <f>'Tab1'!#REF!</f>
        <v>#REF!</v>
      </c>
      <c r="E158" s="91" t="e">
        <f>IF('Tab1'!#REF!&lt;0,"",'Tab1'!#REF!)</f>
        <v>#REF!</v>
      </c>
      <c r="F158" s="6" t="e">
        <f>'Tab1'!#REF!</f>
        <v>#REF!</v>
      </c>
      <c r="G158" s="91" t="e">
        <f>1/'Tab1'!#REF!</f>
        <v>#REF!</v>
      </c>
      <c r="H158" s="91" t="e">
        <f>IF(G158="","",'Tab1'!#REF!)</f>
        <v>#REF!</v>
      </c>
      <c r="I158" s="91" t="e">
        <f>IF(H158="","",'Tab1'!#REF!)</f>
        <v>#REF!</v>
      </c>
      <c r="J158" s="91" t="e">
        <f>IF(I158="","",'Tab1'!#REF!)</f>
        <v>#REF!</v>
      </c>
      <c r="K158" s="91" t="e">
        <f>IF(J158="","",'Tab1'!#REF!)</f>
        <v>#REF!</v>
      </c>
      <c r="L158" s="55"/>
      <c r="M158" s="55"/>
      <c r="N158" s="55"/>
      <c r="O158" s="7"/>
      <c r="P158" s="7"/>
      <c r="Q158" s="7"/>
      <c r="R158" s="7"/>
      <c r="S158" s="7"/>
      <c r="T158" s="7"/>
      <c r="U158" s="7"/>
      <c r="V158" s="5"/>
      <c r="W158" s="98"/>
      <c r="X158" s="98"/>
      <c r="Y158" s="98"/>
      <c r="Z158" s="98"/>
    </row>
    <row r="159" spans="1:26" ht="14.25" customHeight="1" x14ac:dyDescent="0.15">
      <c r="A159" s="344" t="e">
        <f>'Tab1'!#REF!</f>
        <v>#REF!</v>
      </c>
      <c r="B159" s="91" t="e">
        <f>IF('Tab1'!#REF!&lt;&gt;"",'Tab1'!#REF!,"")</f>
        <v>#REF!</v>
      </c>
      <c r="C159" s="91" t="e">
        <f>'Tab1'!#REF!</f>
        <v>#REF!</v>
      </c>
      <c r="D159" s="91" t="e">
        <f>'Tab1'!#REF!</f>
        <v>#REF!</v>
      </c>
      <c r="E159" s="91" t="e">
        <f>IF('Tab1'!#REF!&lt;0,"",'Tab1'!#REF!)</f>
        <v>#REF!</v>
      </c>
      <c r="F159" s="6" t="e">
        <f>'Tab1'!#REF!</f>
        <v>#REF!</v>
      </c>
      <c r="G159" s="91" t="e">
        <f>1/'Tab1'!#REF!</f>
        <v>#REF!</v>
      </c>
      <c r="H159" s="91" t="e">
        <f>IF(G159="","",'Tab1'!#REF!)</f>
        <v>#REF!</v>
      </c>
      <c r="I159" s="91" t="e">
        <f>IF(H159="","",'Tab1'!#REF!)</f>
        <v>#REF!</v>
      </c>
      <c r="J159" s="91" t="e">
        <f>IF(I159="","",'Tab1'!#REF!)</f>
        <v>#REF!</v>
      </c>
      <c r="K159" s="91" t="e">
        <f>IF(J159="","",'Tab1'!#REF!)</f>
        <v>#REF!</v>
      </c>
      <c r="L159" s="55"/>
      <c r="M159" s="55"/>
      <c r="N159" s="55"/>
      <c r="O159" s="7"/>
      <c r="P159" s="7"/>
      <c r="Q159" s="7"/>
      <c r="R159" s="7"/>
      <c r="S159" s="7"/>
      <c r="T159" s="7"/>
      <c r="U159" s="7"/>
      <c r="V159" s="5"/>
      <c r="W159" s="98"/>
      <c r="X159" s="98"/>
      <c r="Y159" s="98"/>
      <c r="Z159" s="98"/>
    </row>
    <row r="160" spans="1:26" ht="14.25" customHeight="1" x14ac:dyDescent="0.15">
      <c r="A160" s="344" t="e">
        <f>'Tab1'!#REF!</f>
        <v>#REF!</v>
      </c>
      <c r="B160" s="91" t="e">
        <f>IF('Tab1'!#REF!&lt;&gt;"",'Tab1'!#REF!,"")</f>
        <v>#REF!</v>
      </c>
      <c r="C160" s="91" t="e">
        <f>'Tab1'!#REF!</f>
        <v>#REF!</v>
      </c>
      <c r="D160" s="91" t="e">
        <f>'Tab1'!#REF!</f>
        <v>#REF!</v>
      </c>
      <c r="E160" s="91" t="e">
        <f>IF('Tab1'!#REF!&lt;0,"",'Tab1'!#REF!)</f>
        <v>#REF!</v>
      </c>
      <c r="F160" s="6" t="e">
        <f>'Tab1'!#REF!</f>
        <v>#REF!</v>
      </c>
      <c r="G160" s="91" t="e">
        <f>1/'Tab1'!#REF!</f>
        <v>#REF!</v>
      </c>
      <c r="H160" s="91" t="e">
        <f>IF(G160="","",'Tab1'!#REF!)</f>
        <v>#REF!</v>
      </c>
      <c r="I160" s="91" t="e">
        <f>IF(H160="","",'Tab1'!#REF!)</f>
        <v>#REF!</v>
      </c>
      <c r="J160" s="91" t="e">
        <f>IF(I160="","",'Tab1'!#REF!)</f>
        <v>#REF!</v>
      </c>
      <c r="K160" s="91" t="e">
        <f>IF(J160="","",'Tab1'!#REF!)</f>
        <v>#REF!</v>
      </c>
      <c r="L160" s="55"/>
      <c r="M160" s="55"/>
      <c r="N160" s="55"/>
      <c r="O160" s="7"/>
      <c r="P160" s="7"/>
      <c r="Q160" s="7"/>
      <c r="R160" s="7"/>
      <c r="S160" s="7"/>
      <c r="T160" s="7"/>
      <c r="U160" s="7"/>
      <c r="V160" s="5"/>
      <c r="W160" s="98"/>
      <c r="X160" s="98"/>
      <c r="Y160" s="98"/>
      <c r="Z160" s="98"/>
    </row>
    <row r="161" spans="1:26" ht="14.25" customHeight="1" x14ac:dyDescent="0.15">
      <c r="A161" s="344" t="e">
        <f>'Tab1'!#REF!</f>
        <v>#REF!</v>
      </c>
      <c r="B161" s="91" t="e">
        <f>IF('Tab1'!#REF!&lt;&gt;"",'Tab1'!#REF!,"")</f>
        <v>#REF!</v>
      </c>
      <c r="C161" s="91" t="e">
        <f>'Tab1'!#REF!</f>
        <v>#REF!</v>
      </c>
      <c r="D161" s="91" t="e">
        <f>'Tab1'!#REF!</f>
        <v>#REF!</v>
      </c>
      <c r="E161" s="91" t="e">
        <f>IF('Tab1'!#REF!&lt;0,"",'Tab1'!#REF!)</f>
        <v>#REF!</v>
      </c>
      <c r="F161" s="6" t="e">
        <f>'Tab1'!#REF!</f>
        <v>#REF!</v>
      </c>
      <c r="G161" s="91" t="e">
        <f>1/'Tab1'!#REF!</f>
        <v>#REF!</v>
      </c>
      <c r="H161" s="91" t="e">
        <f>IF(G161="","",'Tab1'!#REF!)</f>
        <v>#REF!</v>
      </c>
      <c r="I161" s="91" t="e">
        <f>IF(H161="","",'Tab1'!#REF!)</f>
        <v>#REF!</v>
      </c>
      <c r="J161" s="91" t="e">
        <f>IF(I161="","",'Tab1'!#REF!)</f>
        <v>#REF!</v>
      </c>
      <c r="K161" s="91" t="e">
        <f>IF(J161="","",'Tab1'!#REF!)</f>
        <v>#REF!</v>
      </c>
      <c r="L161" s="55"/>
      <c r="M161" s="55"/>
      <c r="N161" s="55"/>
      <c r="O161" s="7"/>
      <c r="P161" s="7"/>
      <c r="Q161" s="7"/>
      <c r="R161" s="7"/>
      <c r="S161" s="7"/>
      <c r="T161" s="7"/>
      <c r="U161" s="7"/>
      <c r="V161" s="5"/>
      <c r="W161" s="98"/>
      <c r="X161" s="98"/>
      <c r="Y161" s="98"/>
      <c r="Z161" s="98"/>
    </row>
    <row r="162" spans="1:26" ht="14.25" customHeight="1" x14ac:dyDescent="0.15">
      <c r="A162" s="344" t="e">
        <f>'Tab1'!#REF!</f>
        <v>#REF!</v>
      </c>
      <c r="B162" s="91" t="e">
        <f>IF('Tab1'!#REF!&lt;&gt;"",'Tab1'!#REF!,"")</f>
        <v>#REF!</v>
      </c>
      <c r="C162" s="91" t="e">
        <f>'Tab1'!#REF!</f>
        <v>#REF!</v>
      </c>
      <c r="D162" s="91" t="e">
        <f>'Tab1'!#REF!</f>
        <v>#REF!</v>
      </c>
      <c r="E162" s="91" t="e">
        <f>IF('Tab1'!#REF!&lt;0,"",'Tab1'!#REF!)</f>
        <v>#REF!</v>
      </c>
      <c r="F162" s="6" t="e">
        <f>'Tab1'!#REF!</f>
        <v>#REF!</v>
      </c>
      <c r="G162" s="91" t="e">
        <f>1/'Tab1'!#REF!</f>
        <v>#REF!</v>
      </c>
      <c r="H162" s="91" t="e">
        <f>IF(G162="","",'Tab1'!#REF!)</f>
        <v>#REF!</v>
      </c>
      <c r="I162" s="91" t="e">
        <f>IF(H162="","",'Tab1'!#REF!)</f>
        <v>#REF!</v>
      </c>
      <c r="J162" s="91" t="e">
        <f>IF(I162="","",'Tab1'!#REF!)</f>
        <v>#REF!</v>
      </c>
      <c r="K162" s="91" t="e">
        <f>IF(J162="","",'Tab1'!#REF!)</f>
        <v>#REF!</v>
      </c>
      <c r="L162" s="55"/>
      <c r="M162" s="55"/>
      <c r="N162" s="55"/>
      <c r="O162" s="7"/>
      <c r="P162" s="7"/>
      <c r="Q162" s="7"/>
      <c r="R162" s="7"/>
      <c r="S162" s="7"/>
      <c r="T162" s="7"/>
      <c r="U162" s="7"/>
      <c r="V162" s="5"/>
      <c r="W162" s="98"/>
      <c r="X162" s="98"/>
      <c r="Y162" s="98"/>
      <c r="Z162" s="98"/>
    </row>
    <row r="163" spans="1:26" ht="14.25" customHeight="1" x14ac:dyDescent="0.15">
      <c r="A163" s="344" t="e">
        <f>'Tab1'!#REF!</f>
        <v>#REF!</v>
      </c>
      <c r="B163" s="91" t="e">
        <f>IF('Tab1'!#REF!&lt;&gt;"",'Tab1'!#REF!,"")</f>
        <v>#REF!</v>
      </c>
      <c r="C163" s="91" t="e">
        <f>'Tab1'!#REF!</f>
        <v>#REF!</v>
      </c>
      <c r="D163" s="91" t="e">
        <f>'Tab1'!#REF!</f>
        <v>#REF!</v>
      </c>
      <c r="E163" s="91" t="e">
        <f>IF('Tab1'!#REF!&lt;0,"",'Tab1'!#REF!)</f>
        <v>#REF!</v>
      </c>
      <c r="F163" s="6" t="e">
        <f>'Tab1'!#REF!</f>
        <v>#REF!</v>
      </c>
      <c r="G163" s="91" t="e">
        <f>1/'Tab1'!#REF!</f>
        <v>#REF!</v>
      </c>
      <c r="H163" s="91" t="e">
        <f>IF(G163="","",'Tab1'!#REF!)</f>
        <v>#REF!</v>
      </c>
      <c r="I163" s="91" t="e">
        <f>IF(H163="","",'Tab1'!#REF!)</f>
        <v>#REF!</v>
      </c>
      <c r="J163" s="91" t="e">
        <f>IF(I163="","",'Tab1'!#REF!)</f>
        <v>#REF!</v>
      </c>
      <c r="K163" s="91" t="e">
        <f>IF(J163="","",'Tab1'!#REF!)</f>
        <v>#REF!</v>
      </c>
      <c r="L163" s="55"/>
      <c r="M163" s="55"/>
      <c r="N163" s="55"/>
      <c r="O163" s="7"/>
      <c r="P163" s="7"/>
      <c r="Q163" s="7"/>
      <c r="R163" s="7"/>
      <c r="S163" s="7"/>
      <c r="T163" s="7"/>
      <c r="U163" s="7"/>
      <c r="V163" s="5"/>
      <c r="W163" s="98"/>
      <c r="X163" s="98"/>
      <c r="Y163" s="98"/>
      <c r="Z163" s="98"/>
    </row>
    <row r="164" spans="1:26" ht="14.25" customHeight="1" x14ac:dyDescent="0.15">
      <c r="A164" s="344" t="e">
        <f>'Tab1'!#REF!</f>
        <v>#REF!</v>
      </c>
      <c r="B164" s="91" t="e">
        <f>IF('Tab1'!#REF!&lt;&gt;"",'Tab1'!#REF!,"")</f>
        <v>#REF!</v>
      </c>
      <c r="C164" s="91" t="e">
        <f>'Tab1'!#REF!</f>
        <v>#REF!</v>
      </c>
      <c r="D164" s="91" t="e">
        <f>'Tab1'!#REF!</f>
        <v>#REF!</v>
      </c>
      <c r="E164" s="91" t="e">
        <f>IF('Tab1'!#REF!&lt;0,"",'Tab1'!#REF!)</f>
        <v>#REF!</v>
      </c>
      <c r="F164" s="6" t="e">
        <f>'Tab1'!#REF!</f>
        <v>#REF!</v>
      </c>
      <c r="G164" s="91" t="e">
        <f>1/'Tab1'!#REF!</f>
        <v>#REF!</v>
      </c>
      <c r="H164" s="91" t="e">
        <f>IF(G164="","",'Tab1'!#REF!)</f>
        <v>#REF!</v>
      </c>
      <c r="I164" s="91" t="e">
        <f>IF(H164="","",'Tab1'!#REF!)</f>
        <v>#REF!</v>
      </c>
      <c r="J164" s="91" t="e">
        <f>IF(I164="","",'Tab1'!#REF!)</f>
        <v>#REF!</v>
      </c>
      <c r="K164" s="91" t="e">
        <f>IF(J164="","",'Tab1'!#REF!)</f>
        <v>#REF!</v>
      </c>
      <c r="L164" s="55"/>
      <c r="M164" s="55"/>
      <c r="N164" s="55"/>
      <c r="O164" s="7"/>
      <c r="P164" s="7"/>
      <c r="Q164" s="7"/>
      <c r="R164" s="7"/>
      <c r="S164" s="7"/>
      <c r="T164" s="7"/>
      <c r="U164" s="7"/>
      <c r="V164" s="5"/>
      <c r="W164" s="98"/>
      <c r="X164" s="98"/>
      <c r="Y164" s="98"/>
      <c r="Z164" s="98"/>
    </row>
    <row r="165" spans="1:26" ht="14.25" customHeight="1" x14ac:dyDescent="0.15">
      <c r="A165" s="344" t="e">
        <f>'Tab1'!#REF!</f>
        <v>#REF!</v>
      </c>
      <c r="B165" s="91" t="e">
        <f>IF('Tab1'!#REF!&lt;&gt;"",'Tab1'!#REF!,"")</f>
        <v>#REF!</v>
      </c>
      <c r="C165" s="91" t="e">
        <f>'Tab1'!#REF!</f>
        <v>#REF!</v>
      </c>
      <c r="D165" s="91" t="e">
        <f>'Tab1'!#REF!</f>
        <v>#REF!</v>
      </c>
      <c r="E165" s="91" t="e">
        <f>IF('Tab1'!#REF!&lt;0,"",'Tab1'!#REF!)</f>
        <v>#REF!</v>
      </c>
      <c r="F165" s="6" t="e">
        <f>'Tab1'!#REF!</f>
        <v>#REF!</v>
      </c>
      <c r="G165" s="91" t="e">
        <f>1/'Tab1'!#REF!</f>
        <v>#REF!</v>
      </c>
      <c r="H165" s="91" t="e">
        <f>IF(G165="","",'Tab1'!#REF!)</f>
        <v>#REF!</v>
      </c>
      <c r="I165" s="91" t="e">
        <f>IF(H165="","",'Tab1'!#REF!)</f>
        <v>#REF!</v>
      </c>
      <c r="J165" s="91" t="e">
        <f>IF(I165="","",'Tab1'!#REF!)</f>
        <v>#REF!</v>
      </c>
      <c r="K165" s="91" t="e">
        <f>IF(J165="","",'Tab1'!#REF!)</f>
        <v>#REF!</v>
      </c>
      <c r="L165" s="55"/>
      <c r="M165" s="55"/>
      <c r="N165" s="55"/>
      <c r="O165" s="7"/>
      <c r="P165" s="7"/>
      <c r="Q165" s="7"/>
      <c r="R165" s="7"/>
      <c r="S165" s="7"/>
      <c r="T165" s="7"/>
      <c r="U165" s="7"/>
      <c r="V165" s="5"/>
      <c r="W165" s="98"/>
      <c r="X165" s="98"/>
      <c r="Y165" s="98"/>
      <c r="Z165" s="98"/>
    </row>
    <row r="166" spans="1:26" ht="14.25" customHeight="1" x14ac:dyDescent="0.15">
      <c r="A166" s="344" t="e">
        <f>'Tab1'!#REF!</f>
        <v>#REF!</v>
      </c>
      <c r="B166" s="91" t="e">
        <f>IF('Tab1'!#REF!&lt;&gt;"",'Tab1'!#REF!,"")</f>
        <v>#REF!</v>
      </c>
      <c r="C166" s="91" t="e">
        <f>'Tab1'!#REF!</f>
        <v>#REF!</v>
      </c>
      <c r="D166" s="91" t="e">
        <f>'Tab1'!#REF!</f>
        <v>#REF!</v>
      </c>
      <c r="E166" s="91" t="e">
        <f>IF('Tab1'!#REF!&lt;0,"",'Tab1'!#REF!)</f>
        <v>#REF!</v>
      </c>
      <c r="F166" s="6" t="e">
        <f>'Tab1'!#REF!</f>
        <v>#REF!</v>
      </c>
      <c r="G166" s="91" t="e">
        <f>1/'Tab1'!#REF!</f>
        <v>#REF!</v>
      </c>
      <c r="H166" s="91" t="e">
        <f>IF(G166="","",'Tab1'!#REF!)</f>
        <v>#REF!</v>
      </c>
      <c r="I166" s="91" t="e">
        <f>IF(H166="","",'Tab1'!#REF!)</f>
        <v>#REF!</v>
      </c>
      <c r="J166" s="91" t="e">
        <f>IF(I166="","",'Tab1'!#REF!)</f>
        <v>#REF!</v>
      </c>
      <c r="K166" s="91" t="e">
        <f>IF(J166="","",'Tab1'!#REF!)</f>
        <v>#REF!</v>
      </c>
      <c r="L166" s="55"/>
      <c r="M166" s="55"/>
      <c r="N166" s="55"/>
      <c r="O166" s="7"/>
      <c r="P166" s="7"/>
      <c r="Q166" s="7"/>
      <c r="R166" s="7"/>
      <c r="S166" s="7"/>
      <c r="T166" s="7"/>
      <c r="U166" s="7"/>
      <c r="V166" s="5"/>
      <c r="W166" s="98"/>
      <c r="X166" s="98"/>
      <c r="Y166" s="98"/>
      <c r="Z166" s="98"/>
    </row>
    <row r="167" spans="1:26" ht="14.25" customHeight="1" x14ac:dyDescent="0.15">
      <c r="A167" s="344" t="e">
        <f>'Tab1'!#REF!</f>
        <v>#REF!</v>
      </c>
      <c r="B167" s="91" t="e">
        <f>IF('Tab1'!#REF!&lt;&gt;"",'Tab1'!#REF!,"")</f>
        <v>#REF!</v>
      </c>
      <c r="C167" s="91" t="e">
        <f>'Tab1'!#REF!</f>
        <v>#REF!</v>
      </c>
      <c r="D167" s="91" t="e">
        <f>'Tab1'!#REF!</f>
        <v>#REF!</v>
      </c>
      <c r="E167" s="91" t="e">
        <f>IF('Tab1'!#REF!&lt;0,"",'Tab1'!#REF!)</f>
        <v>#REF!</v>
      </c>
      <c r="F167" s="6" t="e">
        <f>'Tab1'!#REF!</f>
        <v>#REF!</v>
      </c>
      <c r="G167" s="91" t="e">
        <f>1/'Tab1'!#REF!</f>
        <v>#REF!</v>
      </c>
      <c r="H167" s="91" t="e">
        <f>IF(G167="","",'Tab1'!#REF!)</f>
        <v>#REF!</v>
      </c>
      <c r="I167" s="91" t="e">
        <f>IF(H167="","",'Tab1'!#REF!)</f>
        <v>#REF!</v>
      </c>
      <c r="J167" s="91" t="e">
        <f>IF(I167="","",'Tab1'!#REF!)</f>
        <v>#REF!</v>
      </c>
      <c r="K167" s="91" t="e">
        <f>IF(J167="","",'Tab1'!#REF!)</f>
        <v>#REF!</v>
      </c>
      <c r="L167" s="55"/>
      <c r="M167" s="55"/>
      <c r="N167" s="55"/>
      <c r="O167" s="7"/>
      <c r="P167" s="7"/>
      <c r="Q167" s="7"/>
      <c r="R167" s="7"/>
      <c r="S167" s="7"/>
      <c r="T167" s="7"/>
      <c r="U167" s="7"/>
      <c r="V167" s="5"/>
      <c r="W167" s="98"/>
      <c r="X167" s="98"/>
      <c r="Y167" s="98"/>
      <c r="Z167" s="98"/>
    </row>
    <row r="168" spans="1:26" ht="14.25" customHeight="1" x14ac:dyDescent="0.15">
      <c r="A168" s="344" t="e">
        <f>'Tab1'!#REF!</f>
        <v>#REF!</v>
      </c>
      <c r="B168" s="91" t="e">
        <f>IF('Tab1'!#REF!&lt;&gt;"",'Tab1'!#REF!,"")</f>
        <v>#REF!</v>
      </c>
      <c r="C168" s="91" t="e">
        <f>'Tab1'!#REF!</f>
        <v>#REF!</v>
      </c>
      <c r="D168" s="91" t="e">
        <f>'Tab1'!#REF!</f>
        <v>#REF!</v>
      </c>
      <c r="E168" s="91" t="e">
        <f>IF('Tab1'!#REF!&lt;0,"",'Tab1'!#REF!)</f>
        <v>#REF!</v>
      </c>
      <c r="F168" s="6" t="e">
        <f>'Tab1'!#REF!</f>
        <v>#REF!</v>
      </c>
      <c r="G168" s="91" t="e">
        <f>1/'Tab1'!#REF!</f>
        <v>#REF!</v>
      </c>
      <c r="H168" s="91" t="e">
        <f>IF(G168="","",'Tab1'!#REF!)</f>
        <v>#REF!</v>
      </c>
      <c r="I168" s="91" t="e">
        <f>IF(H168="","",'Tab1'!#REF!)</f>
        <v>#REF!</v>
      </c>
      <c r="J168" s="91" t="e">
        <f>IF(I168="","",'Tab1'!#REF!)</f>
        <v>#REF!</v>
      </c>
      <c r="K168" s="91" t="e">
        <f>IF(J168="","",'Tab1'!#REF!)</f>
        <v>#REF!</v>
      </c>
      <c r="L168" s="55"/>
      <c r="M168" s="55"/>
      <c r="N168" s="55"/>
      <c r="O168" s="7"/>
      <c r="P168" s="7"/>
      <c r="Q168" s="7"/>
      <c r="R168" s="7"/>
      <c r="S168" s="7"/>
      <c r="T168" s="7"/>
      <c r="U168" s="7"/>
      <c r="V168" s="5"/>
      <c r="W168" s="98"/>
      <c r="X168" s="98"/>
      <c r="Y168" s="98"/>
      <c r="Z168" s="98"/>
    </row>
    <row r="169" spans="1:26" ht="14.25" customHeight="1" x14ac:dyDescent="0.15">
      <c r="A169" s="344" t="e">
        <f>'Tab1'!#REF!</f>
        <v>#REF!</v>
      </c>
      <c r="B169" s="91" t="e">
        <f>IF('Tab1'!#REF!&lt;&gt;"",'Tab1'!#REF!,"")</f>
        <v>#REF!</v>
      </c>
      <c r="C169" s="91" t="e">
        <f>'Tab1'!#REF!</f>
        <v>#REF!</v>
      </c>
      <c r="D169" s="91" t="e">
        <f>'Tab1'!#REF!</f>
        <v>#REF!</v>
      </c>
      <c r="E169" s="91" t="e">
        <f>IF('Tab1'!#REF!&lt;0,"",'Tab1'!#REF!)</f>
        <v>#REF!</v>
      </c>
      <c r="F169" s="6" t="e">
        <f>'Tab1'!#REF!</f>
        <v>#REF!</v>
      </c>
      <c r="G169" s="91" t="e">
        <f>1/'Tab1'!#REF!</f>
        <v>#REF!</v>
      </c>
      <c r="H169" s="91" t="e">
        <f>IF(G169="","",'Tab1'!#REF!)</f>
        <v>#REF!</v>
      </c>
      <c r="I169" s="91" t="e">
        <f>IF(H169="","",'Tab1'!#REF!)</f>
        <v>#REF!</v>
      </c>
      <c r="J169" s="91" t="e">
        <f>IF(I169="","",'Tab1'!#REF!)</f>
        <v>#REF!</v>
      </c>
      <c r="K169" s="91" t="e">
        <f>IF(J169="","",'Tab1'!#REF!)</f>
        <v>#REF!</v>
      </c>
      <c r="L169" s="55"/>
      <c r="M169" s="55"/>
      <c r="N169" s="55"/>
      <c r="O169" s="7"/>
      <c r="P169" s="7"/>
      <c r="Q169" s="7"/>
      <c r="R169" s="7"/>
      <c r="S169" s="7"/>
      <c r="T169" s="7"/>
      <c r="U169" s="7"/>
      <c r="V169" s="5"/>
      <c r="W169" s="98"/>
      <c r="X169" s="98"/>
      <c r="Y169" s="98"/>
      <c r="Z169" s="98"/>
    </row>
    <row r="170" spans="1:26" ht="14.25" customHeight="1" x14ac:dyDescent="0.15">
      <c r="A170" s="344" t="e">
        <f>'Tab1'!#REF!</f>
        <v>#REF!</v>
      </c>
      <c r="B170" s="91" t="e">
        <f>IF('Tab1'!#REF!&lt;&gt;"",'Tab1'!#REF!,"")</f>
        <v>#REF!</v>
      </c>
      <c r="C170" s="91" t="e">
        <f>'Tab1'!#REF!</f>
        <v>#REF!</v>
      </c>
      <c r="D170" s="91" t="e">
        <f>'Tab1'!#REF!</f>
        <v>#REF!</v>
      </c>
      <c r="E170" s="91" t="e">
        <f>IF('Tab1'!#REF!&lt;0,"",'Tab1'!#REF!)</f>
        <v>#REF!</v>
      </c>
      <c r="F170" s="6" t="e">
        <f>'Tab1'!#REF!</f>
        <v>#REF!</v>
      </c>
      <c r="G170" s="91" t="e">
        <f>1/'Tab1'!#REF!</f>
        <v>#REF!</v>
      </c>
      <c r="H170" s="91" t="e">
        <f>IF(G170="","",'Tab1'!#REF!)</f>
        <v>#REF!</v>
      </c>
      <c r="I170" s="91" t="e">
        <f>IF(H170="","",'Tab1'!#REF!)</f>
        <v>#REF!</v>
      </c>
      <c r="J170" s="91" t="e">
        <f>IF(I170="","",'Tab1'!#REF!)</f>
        <v>#REF!</v>
      </c>
      <c r="K170" s="91" t="e">
        <f>IF(J170="","",'Tab1'!#REF!)</f>
        <v>#REF!</v>
      </c>
      <c r="L170" s="55"/>
      <c r="M170" s="55"/>
      <c r="N170" s="55"/>
      <c r="O170" s="7"/>
      <c r="P170" s="7"/>
      <c r="Q170" s="7"/>
      <c r="R170" s="7"/>
      <c r="S170" s="7"/>
      <c r="T170" s="7"/>
      <c r="U170" s="7"/>
      <c r="V170" s="5"/>
      <c r="W170" s="98"/>
      <c r="X170" s="98"/>
      <c r="Y170" s="98"/>
      <c r="Z170" s="98"/>
    </row>
    <row r="171" spans="1:26" ht="14.25" customHeight="1" x14ac:dyDescent="0.15">
      <c r="A171" s="344" t="e">
        <f>'Tab1'!#REF!</f>
        <v>#REF!</v>
      </c>
      <c r="B171" s="91" t="e">
        <f>IF('Tab1'!#REF!&lt;&gt;"",'Tab1'!#REF!,"")</f>
        <v>#REF!</v>
      </c>
      <c r="C171" s="91" t="e">
        <f>'Tab1'!#REF!</f>
        <v>#REF!</v>
      </c>
      <c r="D171" s="91" t="e">
        <f>'Tab1'!#REF!</f>
        <v>#REF!</v>
      </c>
      <c r="E171" s="91" t="e">
        <f>IF('Tab1'!#REF!&lt;0,"",'Tab1'!#REF!)</f>
        <v>#REF!</v>
      </c>
      <c r="F171" s="6" t="e">
        <f>'Tab1'!#REF!</f>
        <v>#REF!</v>
      </c>
      <c r="G171" s="91" t="e">
        <f>1/'Tab1'!#REF!</f>
        <v>#REF!</v>
      </c>
      <c r="H171" s="91" t="e">
        <f>IF(G171="","",'Tab1'!#REF!)</f>
        <v>#REF!</v>
      </c>
      <c r="I171" s="91" t="e">
        <f>IF(H171="","",'Tab1'!#REF!)</f>
        <v>#REF!</v>
      </c>
      <c r="J171" s="91" t="e">
        <f>IF(I171="","",'Tab1'!#REF!)</f>
        <v>#REF!</v>
      </c>
      <c r="K171" s="91" t="e">
        <f>IF(J171="","",'Tab1'!#REF!)</f>
        <v>#REF!</v>
      </c>
      <c r="L171" s="55"/>
      <c r="M171" s="55"/>
      <c r="N171" s="55"/>
      <c r="O171" s="7"/>
      <c r="P171" s="7"/>
      <c r="Q171" s="7"/>
      <c r="R171" s="7"/>
      <c r="S171" s="7"/>
      <c r="T171" s="7"/>
      <c r="U171" s="7"/>
      <c r="V171" s="5"/>
      <c r="W171" s="98"/>
      <c r="X171" s="98"/>
      <c r="Y171" s="98"/>
      <c r="Z171" s="98"/>
    </row>
    <row r="172" spans="1:26" ht="14.25" customHeight="1" x14ac:dyDescent="0.15">
      <c r="A172" s="344" t="e">
        <f>'Tab1'!#REF!</f>
        <v>#REF!</v>
      </c>
      <c r="B172" s="91" t="e">
        <f>IF('Tab1'!#REF!&lt;&gt;"",'Tab1'!#REF!,"")</f>
        <v>#REF!</v>
      </c>
      <c r="C172" s="91" t="e">
        <f>'Tab1'!#REF!</f>
        <v>#REF!</v>
      </c>
      <c r="D172" s="91" t="e">
        <f>'Tab1'!#REF!</f>
        <v>#REF!</v>
      </c>
      <c r="E172" s="91" t="e">
        <f>IF('Tab1'!#REF!&lt;0,"",'Tab1'!#REF!)</f>
        <v>#REF!</v>
      </c>
      <c r="F172" s="6" t="e">
        <f>'Tab1'!#REF!</f>
        <v>#REF!</v>
      </c>
      <c r="G172" s="91" t="e">
        <f>1/'Tab1'!#REF!</f>
        <v>#REF!</v>
      </c>
      <c r="H172" s="91" t="e">
        <f>IF(G172="","",'Tab1'!#REF!)</f>
        <v>#REF!</v>
      </c>
      <c r="I172" s="91" t="e">
        <f>IF(H172="","",'Tab1'!#REF!)</f>
        <v>#REF!</v>
      </c>
      <c r="J172" s="91" t="e">
        <f>IF(I172="","",'Tab1'!#REF!)</f>
        <v>#REF!</v>
      </c>
      <c r="K172" s="91" t="e">
        <f>IF(J172="","",'Tab1'!#REF!)</f>
        <v>#REF!</v>
      </c>
      <c r="L172" s="55"/>
      <c r="M172" s="55"/>
      <c r="N172" s="55"/>
      <c r="O172" s="7"/>
      <c r="P172" s="7"/>
      <c r="Q172" s="7"/>
      <c r="R172" s="7"/>
      <c r="S172" s="7"/>
      <c r="T172" s="7"/>
      <c r="U172" s="7"/>
      <c r="V172" s="5"/>
      <c r="W172" s="98"/>
      <c r="X172" s="98"/>
      <c r="Y172" s="98"/>
      <c r="Z172" s="98"/>
    </row>
    <row r="173" spans="1:26" ht="14.25" customHeight="1" x14ac:dyDescent="0.15">
      <c r="A173" s="344" t="e">
        <f>'Tab1'!#REF!</f>
        <v>#REF!</v>
      </c>
      <c r="B173" s="91" t="e">
        <f>IF('Tab1'!#REF!&lt;&gt;"",'Tab1'!#REF!,"")</f>
        <v>#REF!</v>
      </c>
      <c r="C173" s="91" t="e">
        <f>'Tab1'!#REF!</f>
        <v>#REF!</v>
      </c>
      <c r="D173" s="91" t="e">
        <f>'Tab1'!#REF!</f>
        <v>#REF!</v>
      </c>
      <c r="E173" s="91" t="e">
        <f>IF('Tab1'!#REF!&lt;0,"",'Tab1'!#REF!)</f>
        <v>#REF!</v>
      </c>
      <c r="F173" s="6" t="e">
        <f>'Tab1'!#REF!</f>
        <v>#REF!</v>
      </c>
      <c r="G173" s="91" t="e">
        <f>1/'Tab1'!#REF!</f>
        <v>#REF!</v>
      </c>
      <c r="H173" s="91" t="e">
        <f>IF(G173="","",'Tab1'!#REF!)</f>
        <v>#REF!</v>
      </c>
      <c r="I173" s="91" t="e">
        <f>IF(H173="","",'Tab1'!#REF!)</f>
        <v>#REF!</v>
      </c>
      <c r="J173" s="91" t="e">
        <f>IF(I173="","",'Tab1'!#REF!)</f>
        <v>#REF!</v>
      </c>
      <c r="K173" s="91" t="e">
        <f>IF(J173="","",'Tab1'!#REF!)</f>
        <v>#REF!</v>
      </c>
      <c r="L173" s="55"/>
      <c r="M173" s="55"/>
      <c r="N173" s="55"/>
      <c r="O173" s="7"/>
      <c r="P173" s="7"/>
      <c r="Q173" s="7"/>
      <c r="R173" s="7"/>
      <c r="S173" s="7"/>
      <c r="T173" s="7"/>
      <c r="U173" s="7"/>
      <c r="V173" s="5"/>
      <c r="W173" s="98"/>
      <c r="X173" s="98"/>
      <c r="Y173" s="98"/>
      <c r="Z173" s="98"/>
    </row>
    <row r="174" spans="1:26" ht="14.25" customHeight="1" x14ac:dyDescent="0.15">
      <c r="A174" s="344" t="e">
        <f>'Tab1'!#REF!</f>
        <v>#REF!</v>
      </c>
      <c r="B174" s="91" t="e">
        <f>IF('Tab1'!#REF!&lt;&gt;"",'Tab1'!#REF!,"")</f>
        <v>#REF!</v>
      </c>
      <c r="C174" s="91" t="e">
        <f>'Tab1'!#REF!</f>
        <v>#REF!</v>
      </c>
      <c r="D174" s="91" t="e">
        <f>'Tab1'!#REF!</f>
        <v>#REF!</v>
      </c>
      <c r="E174" s="91" t="e">
        <f>IF('Tab1'!#REF!&lt;0,"",'Tab1'!#REF!)</f>
        <v>#REF!</v>
      </c>
      <c r="F174" s="6" t="e">
        <f>'Tab1'!#REF!</f>
        <v>#REF!</v>
      </c>
      <c r="G174" s="91" t="e">
        <f>1/'Tab1'!#REF!</f>
        <v>#REF!</v>
      </c>
      <c r="H174" s="91" t="e">
        <f>IF(G174="","",'Tab1'!#REF!)</f>
        <v>#REF!</v>
      </c>
      <c r="I174" s="91" t="e">
        <f>IF(H174="","",'Tab1'!#REF!)</f>
        <v>#REF!</v>
      </c>
      <c r="J174" s="91" t="e">
        <f>IF(I174="","",'Tab1'!#REF!)</f>
        <v>#REF!</v>
      </c>
      <c r="K174" s="91" t="e">
        <f>IF(J174="","",'Tab1'!#REF!)</f>
        <v>#REF!</v>
      </c>
      <c r="L174" s="55"/>
      <c r="M174" s="55"/>
      <c r="N174" s="55"/>
      <c r="O174" s="7"/>
      <c r="P174" s="7"/>
      <c r="Q174" s="7"/>
      <c r="R174" s="7"/>
      <c r="S174" s="7"/>
      <c r="T174" s="7"/>
      <c r="U174" s="7"/>
      <c r="V174" s="5"/>
      <c r="W174" s="98"/>
      <c r="X174" s="98"/>
      <c r="Y174" s="98"/>
      <c r="Z174" s="98"/>
    </row>
    <row r="175" spans="1:26" ht="14.25" customHeight="1" x14ac:dyDescent="0.15">
      <c r="A175" s="344" t="e">
        <f>'Tab1'!#REF!</f>
        <v>#REF!</v>
      </c>
      <c r="B175" s="91" t="e">
        <f>IF('Tab1'!#REF!&lt;&gt;"",'Tab1'!#REF!,"")</f>
        <v>#REF!</v>
      </c>
      <c r="C175" s="91" t="e">
        <f>'Tab1'!#REF!</f>
        <v>#REF!</v>
      </c>
      <c r="D175" s="91" t="e">
        <f>'Tab1'!#REF!</f>
        <v>#REF!</v>
      </c>
      <c r="E175" s="91" t="e">
        <f>IF('Tab1'!#REF!&lt;0,"",'Tab1'!#REF!)</f>
        <v>#REF!</v>
      </c>
      <c r="F175" s="6" t="e">
        <f>'Tab1'!#REF!</f>
        <v>#REF!</v>
      </c>
      <c r="G175" s="91" t="e">
        <f>1/'Tab1'!#REF!</f>
        <v>#REF!</v>
      </c>
      <c r="H175" s="91" t="e">
        <f>IF(G175="","",'Tab1'!#REF!)</f>
        <v>#REF!</v>
      </c>
      <c r="I175" s="91" t="e">
        <f>IF(H175="","",'Tab1'!#REF!)</f>
        <v>#REF!</v>
      </c>
      <c r="J175" s="91" t="e">
        <f>IF(I175="","",'Tab1'!#REF!)</f>
        <v>#REF!</v>
      </c>
      <c r="K175" s="91" t="e">
        <f>IF(J175="","",'Tab1'!#REF!)</f>
        <v>#REF!</v>
      </c>
      <c r="L175" s="55"/>
      <c r="M175" s="55"/>
      <c r="N175" s="55"/>
      <c r="O175" s="7"/>
      <c r="P175" s="7"/>
      <c r="Q175" s="7"/>
      <c r="R175" s="7"/>
      <c r="S175" s="7"/>
      <c r="T175" s="7"/>
      <c r="U175" s="7"/>
      <c r="V175" s="5"/>
      <c r="W175" s="98"/>
      <c r="X175" s="98"/>
      <c r="Y175" s="98"/>
      <c r="Z175" s="98"/>
    </row>
    <row r="176" spans="1:26" ht="14.25" customHeight="1" x14ac:dyDescent="0.15">
      <c r="A176" s="344" t="e">
        <f>'Tab1'!#REF!</f>
        <v>#REF!</v>
      </c>
      <c r="B176" s="91" t="e">
        <f>IF('Tab1'!#REF!&lt;&gt;"",'Tab1'!#REF!,"")</f>
        <v>#REF!</v>
      </c>
      <c r="C176" s="91" t="e">
        <f>'Tab1'!#REF!</f>
        <v>#REF!</v>
      </c>
      <c r="D176" s="91" t="e">
        <f>'Tab1'!#REF!</f>
        <v>#REF!</v>
      </c>
      <c r="E176" s="91" t="e">
        <f>IF('Tab1'!#REF!&lt;0,"",'Tab1'!#REF!)</f>
        <v>#REF!</v>
      </c>
      <c r="F176" s="6" t="e">
        <f>'Tab1'!#REF!</f>
        <v>#REF!</v>
      </c>
      <c r="G176" s="91" t="e">
        <f>1/'Tab1'!#REF!</f>
        <v>#REF!</v>
      </c>
      <c r="H176" s="91" t="e">
        <f>IF(G176="","",'Tab1'!#REF!)</f>
        <v>#REF!</v>
      </c>
      <c r="I176" s="91" t="e">
        <f>IF(H176="","",'Tab1'!#REF!)</f>
        <v>#REF!</v>
      </c>
      <c r="J176" s="91" t="e">
        <f>IF(I176="","",'Tab1'!#REF!)</f>
        <v>#REF!</v>
      </c>
      <c r="K176" s="91" t="e">
        <f>IF(J176="","",'Tab1'!#REF!)</f>
        <v>#REF!</v>
      </c>
      <c r="L176" s="55"/>
      <c r="M176" s="55"/>
      <c r="N176" s="55"/>
      <c r="O176" s="7"/>
      <c r="P176" s="7"/>
      <c r="Q176" s="7"/>
      <c r="R176" s="7"/>
      <c r="S176" s="7"/>
      <c r="T176" s="7"/>
      <c r="U176" s="7"/>
      <c r="V176" s="5"/>
      <c r="W176" s="98"/>
      <c r="X176" s="98"/>
      <c r="Y176" s="98"/>
      <c r="Z176" s="98"/>
    </row>
    <row r="177" spans="1:26" ht="14.25" customHeight="1" x14ac:dyDescent="0.15">
      <c r="A177" s="344" t="e">
        <f>'Tab1'!#REF!</f>
        <v>#REF!</v>
      </c>
      <c r="B177" s="91" t="e">
        <f>IF('Tab1'!#REF!&lt;&gt;"",'Tab1'!#REF!,"")</f>
        <v>#REF!</v>
      </c>
      <c r="C177" s="91" t="e">
        <f>'Tab1'!#REF!</f>
        <v>#REF!</v>
      </c>
      <c r="D177" s="91" t="e">
        <f>'Tab1'!#REF!</f>
        <v>#REF!</v>
      </c>
      <c r="E177" s="91" t="e">
        <f>IF('Tab1'!#REF!&lt;0,"",'Tab1'!#REF!)</f>
        <v>#REF!</v>
      </c>
      <c r="F177" s="6" t="e">
        <f>'Tab1'!#REF!</f>
        <v>#REF!</v>
      </c>
      <c r="G177" s="91" t="e">
        <f>1/'Tab1'!#REF!</f>
        <v>#REF!</v>
      </c>
      <c r="H177" s="91" t="e">
        <f>IF(G177="","",'Tab1'!#REF!)</f>
        <v>#REF!</v>
      </c>
      <c r="I177" s="91" t="e">
        <f>IF(H177="","",'Tab1'!#REF!)</f>
        <v>#REF!</v>
      </c>
      <c r="J177" s="91" t="e">
        <f>IF(I177="","",'Tab1'!#REF!)</f>
        <v>#REF!</v>
      </c>
      <c r="K177" s="91" t="e">
        <f>IF(J177="","",'Tab1'!#REF!)</f>
        <v>#REF!</v>
      </c>
      <c r="L177" s="55"/>
      <c r="M177" s="55"/>
      <c r="N177" s="55"/>
      <c r="O177" s="7"/>
      <c r="P177" s="7"/>
      <c r="Q177" s="7"/>
      <c r="R177" s="7"/>
      <c r="S177" s="7"/>
      <c r="T177" s="7"/>
      <c r="U177" s="7"/>
      <c r="V177" s="5"/>
      <c r="W177" s="98"/>
      <c r="X177" s="98"/>
      <c r="Y177" s="98"/>
      <c r="Z177" s="98"/>
    </row>
    <row r="178" spans="1:26" ht="14.25" customHeight="1" x14ac:dyDescent="0.15">
      <c r="A178" s="344" t="e">
        <f>'Tab1'!#REF!</f>
        <v>#REF!</v>
      </c>
      <c r="B178" s="91" t="e">
        <f>IF('Tab1'!#REF!&lt;&gt;"",'Tab1'!#REF!,"")</f>
        <v>#REF!</v>
      </c>
      <c r="C178" s="91" t="e">
        <f>'Tab1'!#REF!</f>
        <v>#REF!</v>
      </c>
      <c r="D178" s="91" t="e">
        <f>'Tab1'!#REF!</f>
        <v>#REF!</v>
      </c>
      <c r="E178" s="91" t="e">
        <f>IF('Tab1'!#REF!&lt;0,"",'Tab1'!#REF!)</f>
        <v>#REF!</v>
      </c>
      <c r="F178" s="6" t="e">
        <f>'Tab1'!#REF!</f>
        <v>#REF!</v>
      </c>
      <c r="G178" s="91" t="e">
        <f>1/'Tab1'!#REF!</f>
        <v>#REF!</v>
      </c>
      <c r="H178" s="91" t="e">
        <f>IF(G178="","",'Tab1'!#REF!)</f>
        <v>#REF!</v>
      </c>
      <c r="I178" s="91" t="e">
        <f>IF(H178="","",'Tab1'!#REF!)</f>
        <v>#REF!</v>
      </c>
      <c r="J178" s="91" t="e">
        <f>IF(I178="","",'Tab1'!#REF!)</f>
        <v>#REF!</v>
      </c>
      <c r="K178" s="91" t="e">
        <f>IF(J178="","",'Tab1'!#REF!)</f>
        <v>#REF!</v>
      </c>
      <c r="L178" s="55"/>
      <c r="M178" s="55"/>
      <c r="N178" s="55"/>
      <c r="O178" s="7"/>
      <c r="P178" s="7"/>
      <c r="Q178" s="7"/>
      <c r="R178" s="7"/>
      <c r="S178" s="7"/>
      <c r="T178" s="7"/>
      <c r="U178" s="7"/>
      <c r="V178" s="5"/>
      <c r="W178" s="98"/>
      <c r="X178" s="98"/>
      <c r="Y178" s="98"/>
      <c r="Z178" s="98"/>
    </row>
    <row r="179" spans="1:26" ht="14.25" customHeight="1" x14ac:dyDescent="0.15">
      <c r="A179" s="344" t="e">
        <f>'Tab1'!#REF!</f>
        <v>#REF!</v>
      </c>
      <c r="B179" s="91" t="e">
        <f>IF('Tab1'!#REF!&lt;&gt;"",'Tab1'!#REF!,"")</f>
        <v>#REF!</v>
      </c>
      <c r="C179" s="91" t="e">
        <f>'Tab1'!#REF!</f>
        <v>#REF!</v>
      </c>
      <c r="D179" s="91" t="e">
        <f>'Tab1'!#REF!</f>
        <v>#REF!</v>
      </c>
      <c r="E179" s="91" t="e">
        <f>IF('Tab1'!#REF!&lt;0,"",'Tab1'!#REF!)</f>
        <v>#REF!</v>
      </c>
      <c r="F179" s="6" t="e">
        <f>'Tab1'!#REF!</f>
        <v>#REF!</v>
      </c>
      <c r="G179" s="91" t="e">
        <f>1/'Tab1'!#REF!</f>
        <v>#REF!</v>
      </c>
      <c r="H179" s="91" t="e">
        <f>IF(G179="","",'Tab1'!#REF!)</f>
        <v>#REF!</v>
      </c>
      <c r="I179" s="91" t="e">
        <f>IF(H179="","",'Tab1'!#REF!)</f>
        <v>#REF!</v>
      </c>
      <c r="J179" s="91" t="e">
        <f>IF(I179="","",'Tab1'!#REF!)</f>
        <v>#REF!</v>
      </c>
      <c r="K179" s="91" t="e">
        <f>IF(J179="","",'Tab1'!#REF!)</f>
        <v>#REF!</v>
      </c>
      <c r="L179" s="55"/>
      <c r="M179" s="55"/>
      <c r="N179" s="55"/>
      <c r="O179" s="7"/>
      <c r="P179" s="7"/>
      <c r="Q179" s="7"/>
      <c r="R179" s="7"/>
      <c r="S179" s="7"/>
      <c r="T179" s="7"/>
      <c r="U179" s="7"/>
      <c r="V179" s="5"/>
      <c r="W179" s="98"/>
      <c r="X179" s="98"/>
      <c r="Y179" s="98"/>
      <c r="Z179" s="98"/>
    </row>
    <row r="180" spans="1:26" ht="14.25" customHeight="1" x14ac:dyDescent="0.15">
      <c r="A180" s="344" t="e">
        <f>'Tab1'!#REF!</f>
        <v>#REF!</v>
      </c>
      <c r="B180" s="91" t="e">
        <f>IF('Tab1'!#REF!&lt;&gt;"",'Tab1'!#REF!,"")</f>
        <v>#REF!</v>
      </c>
      <c r="C180" s="91" t="e">
        <f>'Tab1'!#REF!</f>
        <v>#REF!</v>
      </c>
      <c r="D180" s="91" t="e">
        <f>'Tab1'!#REF!</f>
        <v>#REF!</v>
      </c>
      <c r="E180" s="91" t="e">
        <f>IF('Tab1'!#REF!&lt;0,"",'Tab1'!#REF!)</f>
        <v>#REF!</v>
      </c>
      <c r="F180" s="6" t="e">
        <f>'Tab1'!#REF!</f>
        <v>#REF!</v>
      </c>
      <c r="G180" s="91" t="e">
        <f>1/'Tab1'!#REF!</f>
        <v>#REF!</v>
      </c>
      <c r="H180" s="91" t="e">
        <f>IF(G180="","",'Tab1'!#REF!)</f>
        <v>#REF!</v>
      </c>
      <c r="I180" s="91" t="e">
        <f>IF(H180="","",'Tab1'!#REF!)</f>
        <v>#REF!</v>
      </c>
      <c r="J180" s="91" t="e">
        <f>IF(I180="","",'Tab1'!#REF!)</f>
        <v>#REF!</v>
      </c>
      <c r="K180" s="91" t="e">
        <f>IF(J180="","",'Tab1'!#REF!)</f>
        <v>#REF!</v>
      </c>
      <c r="L180" s="55"/>
      <c r="M180" s="55"/>
      <c r="N180" s="55"/>
      <c r="O180" s="7"/>
      <c r="P180" s="7"/>
      <c r="Q180" s="7"/>
      <c r="R180" s="7"/>
      <c r="S180" s="7"/>
      <c r="T180" s="7"/>
      <c r="U180" s="7"/>
      <c r="V180" s="5"/>
      <c r="W180" s="98"/>
      <c r="X180" s="98"/>
      <c r="Y180" s="98"/>
      <c r="Z180" s="98"/>
    </row>
    <row r="181" spans="1:26" ht="14.25" customHeight="1" x14ac:dyDescent="0.15">
      <c r="A181" s="344" t="e">
        <f>'Tab1'!#REF!</f>
        <v>#REF!</v>
      </c>
      <c r="B181" s="91" t="e">
        <f>IF('Tab1'!#REF!&lt;&gt;"",'Tab1'!#REF!,"")</f>
        <v>#REF!</v>
      </c>
      <c r="C181" s="91" t="e">
        <f>'Tab1'!#REF!</f>
        <v>#REF!</v>
      </c>
      <c r="D181" s="91" t="e">
        <f>'Tab1'!#REF!</f>
        <v>#REF!</v>
      </c>
      <c r="E181" s="91" t="e">
        <f>IF('Tab1'!#REF!&lt;0,"",'Tab1'!#REF!)</f>
        <v>#REF!</v>
      </c>
      <c r="F181" s="6" t="e">
        <f>'Tab1'!#REF!</f>
        <v>#REF!</v>
      </c>
      <c r="G181" s="91" t="e">
        <f>1/'Tab1'!#REF!</f>
        <v>#REF!</v>
      </c>
      <c r="H181" s="91" t="e">
        <f>IF(G181="","",'Tab1'!#REF!)</f>
        <v>#REF!</v>
      </c>
      <c r="I181" s="91" t="e">
        <f>IF(H181="","",'Tab1'!#REF!)</f>
        <v>#REF!</v>
      </c>
      <c r="J181" s="91" t="e">
        <f>IF(I181="","",'Tab1'!#REF!)</f>
        <v>#REF!</v>
      </c>
      <c r="K181" s="91" t="e">
        <f>IF(J181="","",'Tab1'!#REF!)</f>
        <v>#REF!</v>
      </c>
      <c r="L181" s="55"/>
      <c r="M181" s="55"/>
      <c r="N181" s="55"/>
      <c r="O181" s="7"/>
      <c r="P181" s="7"/>
      <c r="Q181" s="7"/>
      <c r="R181" s="7"/>
      <c r="S181" s="7"/>
      <c r="T181" s="7"/>
      <c r="U181" s="7"/>
      <c r="V181" s="5"/>
      <c r="W181" s="98"/>
      <c r="X181" s="98"/>
      <c r="Y181" s="98"/>
      <c r="Z181" s="98"/>
    </row>
    <row r="182" spans="1:26" ht="14.25" customHeight="1" x14ac:dyDescent="0.15">
      <c r="A182" s="344" t="e">
        <f>'Tab1'!#REF!</f>
        <v>#REF!</v>
      </c>
      <c r="B182" s="91" t="e">
        <f>IF('Tab1'!#REF!&lt;&gt;"",'Tab1'!#REF!,"")</f>
        <v>#REF!</v>
      </c>
      <c r="C182" s="91" t="e">
        <f>'Tab1'!#REF!</f>
        <v>#REF!</v>
      </c>
      <c r="D182" s="91" t="e">
        <f>'Tab1'!#REF!</f>
        <v>#REF!</v>
      </c>
      <c r="E182" s="91" t="e">
        <f>IF('Tab1'!#REF!&lt;0,"",'Tab1'!#REF!)</f>
        <v>#REF!</v>
      </c>
      <c r="F182" s="6" t="e">
        <f>'Tab1'!#REF!</f>
        <v>#REF!</v>
      </c>
      <c r="G182" s="91" t="e">
        <f>1/'Tab1'!#REF!</f>
        <v>#REF!</v>
      </c>
      <c r="H182" s="91" t="e">
        <f>IF(G182="","",'Tab1'!#REF!)</f>
        <v>#REF!</v>
      </c>
      <c r="I182" s="91" t="e">
        <f>IF(H182="","",'Tab1'!#REF!)</f>
        <v>#REF!</v>
      </c>
      <c r="J182" s="91" t="e">
        <f>IF(I182="","",'Tab1'!#REF!)</f>
        <v>#REF!</v>
      </c>
      <c r="K182" s="91" t="e">
        <f>IF(J182="","",'Tab1'!#REF!)</f>
        <v>#REF!</v>
      </c>
      <c r="L182" s="55"/>
      <c r="M182" s="55"/>
      <c r="N182" s="55"/>
      <c r="O182" s="7"/>
      <c r="P182" s="7"/>
      <c r="Q182" s="7"/>
      <c r="R182" s="7"/>
      <c r="S182" s="7"/>
      <c r="T182" s="7"/>
      <c r="U182" s="7"/>
      <c r="V182" s="5"/>
      <c r="W182" s="98"/>
      <c r="X182" s="98"/>
      <c r="Y182" s="98"/>
      <c r="Z182" s="98"/>
    </row>
    <row r="183" spans="1:26" ht="14.25" customHeight="1" x14ac:dyDescent="0.15">
      <c r="A183" s="344" t="e">
        <f>'Tab1'!#REF!</f>
        <v>#REF!</v>
      </c>
      <c r="B183" s="91" t="e">
        <f>IF('Tab1'!#REF!&lt;&gt;"",'Tab1'!#REF!,"")</f>
        <v>#REF!</v>
      </c>
      <c r="C183" s="91" t="e">
        <f>'Tab1'!#REF!</f>
        <v>#REF!</v>
      </c>
      <c r="D183" s="91" t="e">
        <f>'Tab1'!#REF!</f>
        <v>#REF!</v>
      </c>
      <c r="E183" s="91" t="e">
        <f>IF('Tab1'!#REF!&lt;0,"",'Tab1'!#REF!)</f>
        <v>#REF!</v>
      </c>
      <c r="F183" s="6" t="e">
        <f>'Tab1'!#REF!</f>
        <v>#REF!</v>
      </c>
      <c r="G183" s="91" t="e">
        <f>1/'Tab1'!#REF!</f>
        <v>#REF!</v>
      </c>
      <c r="H183" s="91" t="e">
        <f>IF(G183="","",'Tab1'!#REF!)</f>
        <v>#REF!</v>
      </c>
      <c r="I183" s="91" t="e">
        <f>IF(H183="","",'Tab1'!#REF!)</f>
        <v>#REF!</v>
      </c>
      <c r="J183" s="91" t="e">
        <f>IF(I183="","",'Tab1'!#REF!)</f>
        <v>#REF!</v>
      </c>
      <c r="K183" s="91" t="e">
        <f>IF(J183="","",'Tab1'!#REF!)</f>
        <v>#REF!</v>
      </c>
      <c r="L183" s="55"/>
      <c r="M183" s="55"/>
      <c r="N183" s="55"/>
      <c r="O183" s="7"/>
      <c r="P183" s="7"/>
      <c r="Q183" s="7"/>
      <c r="R183" s="7"/>
      <c r="S183" s="7"/>
      <c r="T183" s="7"/>
      <c r="U183" s="7"/>
      <c r="V183" s="5"/>
      <c r="W183" s="98"/>
      <c r="X183" s="98"/>
      <c r="Y183" s="98"/>
      <c r="Z183" s="98"/>
    </row>
    <row r="184" spans="1:26" ht="14.25" customHeight="1" x14ac:dyDescent="0.15">
      <c r="A184" s="344" t="e">
        <f>'Tab1'!#REF!</f>
        <v>#REF!</v>
      </c>
      <c r="B184" s="91" t="e">
        <f>IF('Tab1'!#REF!&lt;&gt;"",'Tab1'!#REF!,"")</f>
        <v>#REF!</v>
      </c>
      <c r="C184" s="91" t="e">
        <f>'Tab1'!#REF!</f>
        <v>#REF!</v>
      </c>
      <c r="D184" s="91" t="e">
        <f>'Tab1'!#REF!</f>
        <v>#REF!</v>
      </c>
      <c r="E184" s="91" t="e">
        <f>IF('Tab1'!#REF!&lt;0,"",'Tab1'!#REF!)</f>
        <v>#REF!</v>
      </c>
      <c r="F184" s="6" t="e">
        <f>'Tab1'!#REF!</f>
        <v>#REF!</v>
      </c>
      <c r="G184" s="91" t="e">
        <f>1/'Tab1'!#REF!</f>
        <v>#REF!</v>
      </c>
      <c r="H184" s="91" t="e">
        <f>IF(G184="","",'Tab1'!#REF!)</f>
        <v>#REF!</v>
      </c>
      <c r="I184" s="91" t="e">
        <f>IF(H184="","",'Tab1'!#REF!)</f>
        <v>#REF!</v>
      </c>
      <c r="J184" s="91" t="e">
        <f>IF(I184="","",'Tab1'!#REF!)</f>
        <v>#REF!</v>
      </c>
      <c r="K184" s="91" t="e">
        <f>IF(J184="","",'Tab1'!#REF!)</f>
        <v>#REF!</v>
      </c>
      <c r="L184" s="55"/>
      <c r="M184" s="55"/>
      <c r="N184" s="55"/>
      <c r="O184" s="7"/>
      <c r="P184" s="7"/>
      <c r="Q184" s="7"/>
      <c r="R184" s="7"/>
      <c r="S184" s="7"/>
      <c r="T184" s="7"/>
      <c r="U184" s="7"/>
      <c r="V184" s="5"/>
      <c r="W184" s="98"/>
      <c r="X184" s="98"/>
      <c r="Y184" s="98"/>
      <c r="Z184" s="98"/>
    </row>
    <row r="185" spans="1:26" ht="14.25" customHeight="1" x14ac:dyDescent="0.15">
      <c r="A185" s="344" t="e">
        <f>'Tab1'!#REF!</f>
        <v>#REF!</v>
      </c>
      <c r="B185" s="91" t="e">
        <f>IF('Tab1'!#REF!&lt;&gt;"",'Tab1'!#REF!,"")</f>
        <v>#REF!</v>
      </c>
      <c r="C185" s="91" t="e">
        <f>'Tab1'!#REF!</f>
        <v>#REF!</v>
      </c>
      <c r="D185" s="91" t="e">
        <f>'Tab1'!#REF!</f>
        <v>#REF!</v>
      </c>
      <c r="E185" s="91" t="e">
        <f>IF('Tab1'!#REF!&lt;0,"",'Tab1'!#REF!)</f>
        <v>#REF!</v>
      </c>
      <c r="F185" s="6" t="e">
        <f>'Tab1'!#REF!</f>
        <v>#REF!</v>
      </c>
      <c r="G185" s="91" t="e">
        <f>1/'Tab1'!#REF!</f>
        <v>#REF!</v>
      </c>
      <c r="H185" s="91" t="e">
        <f>IF(G185="","",'Tab1'!#REF!)</f>
        <v>#REF!</v>
      </c>
      <c r="I185" s="91" t="e">
        <f>IF(H185="","",'Tab1'!#REF!)</f>
        <v>#REF!</v>
      </c>
      <c r="J185" s="91" t="e">
        <f>IF(I185="","",'Tab1'!#REF!)</f>
        <v>#REF!</v>
      </c>
      <c r="K185" s="91" t="e">
        <f>IF(J185="","",'Tab1'!#REF!)</f>
        <v>#REF!</v>
      </c>
      <c r="L185" s="55"/>
      <c r="M185" s="55"/>
      <c r="N185" s="55"/>
      <c r="O185" s="7"/>
      <c r="P185" s="7"/>
      <c r="Q185" s="7"/>
      <c r="R185" s="7"/>
      <c r="S185" s="7"/>
      <c r="T185" s="7"/>
      <c r="U185" s="7"/>
      <c r="V185" s="5"/>
      <c r="W185" s="98"/>
      <c r="X185" s="98"/>
      <c r="Y185" s="98"/>
      <c r="Z185" s="98"/>
    </row>
    <row r="186" spans="1:26" ht="14.25" customHeight="1" x14ac:dyDescent="0.15">
      <c r="A186" s="344" t="e">
        <f>'Tab1'!#REF!</f>
        <v>#REF!</v>
      </c>
      <c r="B186" s="91" t="e">
        <f>IF('Tab1'!#REF!&lt;&gt;"",'Tab1'!#REF!,"")</f>
        <v>#REF!</v>
      </c>
      <c r="C186" s="91" t="e">
        <f>'Tab1'!#REF!</f>
        <v>#REF!</v>
      </c>
      <c r="D186" s="91" t="e">
        <f>'Tab1'!#REF!</f>
        <v>#REF!</v>
      </c>
      <c r="E186" s="91" t="e">
        <f>IF('Tab1'!#REF!&lt;0,"",'Tab1'!#REF!)</f>
        <v>#REF!</v>
      </c>
      <c r="F186" s="6" t="e">
        <f>'Tab1'!#REF!</f>
        <v>#REF!</v>
      </c>
      <c r="G186" s="91" t="e">
        <f>1/'Tab1'!#REF!</f>
        <v>#REF!</v>
      </c>
      <c r="H186" s="91" t="e">
        <f>IF(G186="","",'Tab1'!#REF!)</f>
        <v>#REF!</v>
      </c>
      <c r="I186" s="91" t="e">
        <f>IF(H186="","",'Tab1'!#REF!)</f>
        <v>#REF!</v>
      </c>
      <c r="J186" s="91" t="e">
        <f>IF(I186="","",'Tab1'!#REF!)</f>
        <v>#REF!</v>
      </c>
      <c r="K186" s="91" t="e">
        <f>IF(J186="","",'Tab1'!#REF!)</f>
        <v>#REF!</v>
      </c>
      <c r="L186" s="55"/>
      <c r="M186" s="55"/>
      <c r="N186" s="55"/>
      <c r="O186" s="7"/>
      <c r="P186" s="7"/>
      <c r="Q186" s="7"/>
      <c r="R186" s="7"/>
      <c r="S186" s="7"/>
      <c r="T186" s="7"/>
      <c r="U186" s="7"/>
      <c r="V186" s="5"/>
      <c r="W186" s="98"/>
      <c r="X186" s="98"/>
      <c r="Y186" s="98"/>
      <c r="Z186" s="98"/>
    </row>
    <row r="187" spans="1:26" ht="14.25" customHeight="1" x14ac:dyDescent="0.15">
      <c r="A187" s="344" t="e">
        <f>'Tab1'!#REF!</f>
        <v>#REF!</v>
      </c>
      <c r="B187" s="91" t="e">
        <f>IF('Tab1'!#REF!&lt;&gt;"",'Tab1'!#REF!,"")</f>
        <v>#REF!</v>
      </c>
      <c r="C187" s="91" t="e">
        <f>'Tab1'!#REF!</f>
        <v>#REF!</v>
      </c>
      <c r="D187" s="91" t="e">
        <f>'Tab1'!#REF!</f>
        <v>#REF!</v>
      </c>
      <c r="E187" s="91" t="e">
        <f>IF('Tab1'!#REF!&lt;0,"",'Tab1'!#REF!)</f>
        <v>#REF!</v>
      </c>
      <c r="F187" s="6" t="e">
        <f>'Tab1'!#REF!</f>
        <v>#REF!</v>
      </c>
      <c r="G187" s="91" t="e">
        <f>1/'Tab1'!#REF!</f>
        <v>#REF!</v>
      </c>
      <c r="H187" s="91" t="e">
        <f>IF(G187="","",'Tab1'!#REF!)</f>
        <v>#REF!</v>
      </c>
      <c r="I187" s="91" t="e">
        <f>IF(H187="","",'Tab1'!#REF!)</f>
        <v>#REF!</v>
      </c>
      <c r="J187" s="91" t="e">
        <f>IF(I187="","",'Tab1'!#REF!)</f>
        <v>#REF!</v>
      </c>
      <c r="K187" s="91" t="e">
        <f>IF(J187="","",'Tab1'!#REF!)</f>
        <v>#REF!</v>
      </c>
      <c r="L187" s="55"/>
      <c r="M187" s="55"/>
      <c r="N187" s="55"/>
      <c r="O187" s="7"/>
      <c r="P187" s="7"/>
      <c r="Q187" s="7"/>
      <c r="R187" s="7"/>
      <c r="S187" s="7"/>
      <c r="T187" s="7"/>
      <c r="U187" s="7"/>
      <c r="V187" s="5"/>
      <c r="W187" s="98"/>
      <c r="X187" s="98"/>
      <c r="Y187" s="98"/>
      <c r="Z187" s="98"/>
    </row>
    <row r="188" spans="1:26" ht="14.25" customHeight="1" x14ac:dyDescent="0.15">
      <c r="A188" s="344" t="e">
        <f>'Tab1'!#REF!</f>
        <v>#REF!</v>
      </c>
      <c r="B188" s="91" t="e">
        <f>IF('Tab1'!#REF!&lt;&gt;"",'Tab1'!#REF!,"")</f>
        <v>#REF!</v>
      </c>
      <c r="C188" s="91" t="e">
        <f>'Tab1'!#REF!</f>
        <v>#REF!</v>
      </c>
      <c r="D188" s="91" t="e">
        <f>'Tab1'!#REF!</f>
        <v>#REF!</v>
      </c>
      <c r="E188" s="91" t="e">
        <f>IF('Tab1'!#REF!&lt;0,"",'Tab1'!#REF!)</f>
        <v>#REF!</v>
      </c>
      <c r="F188" s="6" t="e">
        <f>'Tab1'!#REF!</f>
        <v>#REF!</v>
      </c>
      <c r="G188" s="91" t="e">
        <f>1/'Tab1'!#REF!</f>
        <v>#REF!</v>
      </c>
      <c r="H188" s="91" t="e">
        <f>IF(G188="","",'Tab1'!#REF!)</f>
        <v>#REF!</v>
      </c>
      <c r="I188" s="91" t="e">
        <f>IF(H188="","",'Tab1'!#REF!)</f>
        <v>#REF!</v>
      </c>
      <c r="J188" s="91" t="e">
        <f>IF(I188="","",'Tab1'!#REF!)</f>
        <v>#REF!</v>
      </c>
      <c r="K188" s="91" t="e">
        <f>IF(J188="","",'Tab1'!#REF!)</f>
        <v>#REF!</v>
      </c>
      <c r="L188" s="55"/>
      <c r="M188" s="55"/>
      <c r="N188" s="55"/>
      <c r="O188" s="7"/>
      <c r="P188" s="7"/>
      <c r="Q188" s="7"/>
      <c r="R188" s="7"/>
      <c r="S188" s="7"/>
      <c r="T188" s="7"/>
      <c r="U188" s="7"/>
      <c r="V188" s="5"/>
      <c r="W188" s="98"/>
      <c r="X188" s="98"/>
      <c r="Y188" s="98"/>
      <c r="Z188" s="98"/>
    </row>
    <row r="189" spans="1:26" ht="14.25" customHeight="1" x14ac:dyDescent="0.15">
      <c r="A189" s="344" t="e">
        <f>'Tab1'!#REF!</f>
        <v>#REF!</v>
      </c>
      <c r="B189" s="91" t="e">
        <f>IF('Tab1'!#REF!&lt;&gt;"",'Tab1'!#REF!,"")</f>
        <v>#REF!</v>
      </c>
      <c r="C189" s="91" t="e">
        <f>'Tab1'!#REF!</f>
        <v>#REF!</v>
      </c>
      <c r="D189" s="91" t="e">
        <f>'Tab1'!#REF!</f>
        <v>#REF!</v>
      </c>
      <c r="E189" s="91" t="e">
        <f>IF('Tab1'!#REF!&lt;0,"",'Tab1'!#REF!)</f>
        <v>#REF!</v>
      </c>
      <c r="F189" s="6" t="e">
        <f>'Tab1'!#REF!</f>
        <v>#REF!</v>
      </c>
      <c r="G189" s="91" t="e">
        <f>1/'Tab1'!#REF!</f>
        <v>#REF!</v>
      </c>
      <c r="H189" s="91" t="e">
        <f>IF(G189="","",'Tab1'!#REF!)</f>
        <v>#REF!</v>
      </c>
      <c r="I189" s="91" t="e">
        <f>IF(H189="","",'Tab1'!#REF!)</f>
        <v>#REF!</v>
      </c>
      <c r="J189" s="91" t="e">
        <f>IF(I189="","",'Tab1'!#REF!)</f>
        <v>#REF!</v>
      </c>
      <c r="K189" s="91" t="e">
        <f>IF(J189="","",'Tab1'!#REF!)</f>
        <v>#REF!</v>
      </c>
      <c r="L189" s="55"/>
      <c r="M189" s="55"/>
      <c r="N189" s="55"/>
      <c r="O189" s="7"/>
      <c r="P189" s="7"/>
      <c r="Q189" s="7"/>
      <c r="R189" s="7"/>
      <c r="S189" s="7"/>
      <c r="T189" s="7"/>
      <c r="U189" s="7"/>
      <c r="V189" s="5"/>
      <c r="W189" s="98"/>
      <c r="X189" s="98"/>
      <c r="Y189" s="98"/>
      <c r="Z189" s="98"/>
    </row>
    <row r="190" spans="1:26" ht="14.25" customHeight="1" x14ac:dyDescent="0.15">
      <c r="A190" s="344" t="e">
        <f>'Tab1'!#REF!</f>
        <v>#REF!</v>
      </c>
      <c r="B190" s="91" t="e">
        <f>IF('Tab1'!#REF!&lt;&gt;"",'Tab1'!#REF!,"")</f>
        <v>#REF!</v>
      </c>
      <c r="C190" s="91" t="e">
        <f>'Tab1'!#REF!</f>
        <v>#REF!</v>
      </c>
      <c r="D190" s="91" t="e">
        <f>'Tab1'!#REF!</f>
        <v>#REF!</v>
      </c>
      <c r="E190" s="91" t="e">
        <f>IF('Tab1'!#REF!&lt;0,"",'Tab1'!#REF!)</f>
        <v>#REF!</v>
      </c>
      <c r="F190" s="6" t="e">
        <f>'Tab1'!#REF!</f>
        <v>#REF!</v>
      </c>
      <c r="G190" s="91" t="e">
        <f>1/'Tab1'!#REF!</f>
        <v>#REF!</v>
      </c>
      <c r="H190" s="91" t="e">
        <f>IF(G190="","",'Tab1'!#REF!)</f>
        <v>#REF!</v>
      </c>
      <c r="I190" s="91" t="e">
        <f>IF(H190="","",'Tab1'!#REF!)</f>
        <v>#REF!</v>
      </c>
      <c r="J190" s="91" t="e">
        <f>IF(I190="","",'Tab1'!#REF!)</f>
        <v>#REF!</v>
      </c>
      <c r="K190" s="91" t="e">
        <f>IF(J190="","",'Tab1'!#REF!)</f>
        <v>#REF!</v>
      </c>
      <c r="L190" s="55"/>
      <c r="M190" s="55"/>
      <c r="N190" s="55"/>
      <c r="O190" s="7"/>
      <c r="P190" s="7"/>
      <c r="Q190" s="7"/>
      <c r="R190" s="7"/>
      <c r="S190" s="7"/>
      <c r="T190" s="7"/>
      <c r="U190" s="7"/>
      <c r="V190" s="5"/>
      <c r="W190" s="98"/>
      <c r="X190" s="98"/>
      <c r="Y190" s="98"/>
      <c r="Z190" s="98"/>
    </row>
    <row r="191" spans="1:26" ht="14.25" customHeight="1" x14ac:dyDescent="0.15">
      <c r="A191" s="344" t="e">
        <f>'Tab1'!#REF!</f>
        <v>#REF!</v>
      </c>
      <c r="B191" s="91" t="e">
        <f>IF('Tab1'!#REF!&lt;&gt;"",'Tab1'!#REF!,"")</f>
        <v>#REF!</v>
      </c>
      <c r="C191" s="91" t="e">
        <f>'Tab1'!#REF!</f>
        <v>#REF!</v>
      </c>
      <c r="D191" s="91" t="e">
        <f>'Tab1'!#REF!</f>
        <v>#REF!</v>
      </c>
      <c r="E191" s="91" t="e">
        <f>IF('Tab1'!#REF!&lt;0,"",'Tab1'!#REF!)</f>
        <v>#REF!</v>
      </c>
      <c r="F191" s="6" t="e">
        <f>'Tab1'!#REF!</f>
        <v>#REF!</v>
      </c>
      <c r="G191" s="91" t="e">
        <f>1/'Tab1'!#REF!</f>
        <v>#REF!</v>
      </c>
      <c r="H191" s="91" t="e">
        <f>IF(G191="","",'Tab1'!#REF!)</f>
        <v>#REF!</v>
      </c>
      <c r="I191" s="91" t="e">
        <f>IF(H191="","",'Tab1'!#REF!)</f>
        <v>#REF!</v>
      </c>
      <c r="J191" s="91" t="e">
        <f>IF(I191="","",'Tab1'!#REF!)</f>
        <v>#REF!</v>
      </c>
      <c r="K191" s="91" t="e">
        <f>IF(J191="","",'Tab1'!#REF!)</f>
        <v>#REF!</v>
      </c>
      <c r="L191" s="55"/>
      <c r="M191" s="55"/>
      <c r="N191" s="55"/>
      <c r="O191" s="7"/>
      <c r="P191" s="7"/>
      <c r="Q191" s="7"/>
      <c r="R191" s="7"/>
      <c r="S191" s="7"/>
      <c r="T191" s="7"/>
      <c r="U191" s="7"/>
      <c r="V191" s="5"/>
      <c r="W191" s="98"/>
      <c r="X191" s="98"/>
      <c r="Y191" s="98"/>
      <c r="Z191" s="98"/>
    </row>
    <row r="192" spans="1:26" ht="14.25" customHeight="1" x14ac:dyDescent="0.15">
      <c r="A192" s="344" t="e">
        <f>'Tab1'!#REF!</f>
        <v>#REF!</v>
      </c>
      <c r="B192" s="91" t="e">
        <f>IF('Tab1'!#REF!&lt;&gt;"",'Tab1'!#REF!,"")</f>
        <v>#REF!</v>
      </c>
      <c r="C192" s="91" t="e">
        <f>'Tab1'!#REF!</f>
        <v>#REF!</v>
      </c>
      <c r="D192" s="91" t="e">
        <f>'Tab1'!#REF!</f>
        <v>#REF!</v>
      </c>
      <c r="E192" s="91" t="e">
        <f>IF('Tab1'!#REF!&lt;0,"",'Tab1'!#REF!)</f>
        <v>#REF!</v>
      </c>
      <c r="F192" s="6" t="e">
        <f>'Tab1'!#REF!</f>
        <v>#REF!</v>
      </c>
      <c r="G192" s="91" t="e">
        <f>1/'Tab1'!#REF!</f>
        <v>#REF!</v>
      </c>
      <c r="H192" s="91" t="e">
        <f>IF(G192="","",'Tab1'!#REF!)</f>
        <v>#REF!</v>
      </c>
      <c r="I192" s="91" t="e">
        <f>IF(H192="","",'Tab1'!#REF!)</f>
        <v>#REF!</v>
      </c>
      <c r="J192" s="91" t="e">
        <f>IF(I192="","",'Tab1'!#REF!)</f>
        <v>#REF!</v>
      </c>
      <c r="K192" s="91" t="e">
        <f>IF(J192="","",'Tab1'!#REF!)</f>
        <v>#REF!</v>
      </c>
      <c r="L192" s="55"/>
      <c r="M192" s="55"/>
      <c r="N192" s="55"/>
      <c r="O192" s="7"/>
      <c r="P192" s="7"/>
      <c r="Q192" s="7"/>
      <c r="R192" s="7"/>
      <c r="S192" s="7"/>
      <c r="T192" s="7"/>
      <c r="U192" s="7"/>
      <c r="V192" s="5"/>
      <c r="W192" s="98"/>
      <c r="X192" s="98"/>
      <c r="Y192" s="98"/>
      <c r="Z192" s="98"/>
    </row>
    <row r="193" spans="1:26" ht="14.25" customHeight="1" x14ac:dyDescent="0.15">
      <c r="A193" s="344" t="e">
        <f>'Tab1'!#REF!</f>
        <v>#REF!</v>
      </c>
      <c r="B193" s="91" t="e">
        <f>IF('Tab1'!#REF!&lt;&gt;"",'Tab1'!#REF!,"")</f>
        <v>#REF!</v>
      </c>
      <c r="C193" s="91" t="e">
        <f>'Tab1'!#REF!</f>
        <v>#REF!</v>
      </c>
      <c r="D193" s="91" t="e">
        <f>'Tab1'!#REF!</f>
        <v>#REF!</v>
      </c>
      <c r="E193" s="91" t="e">
        <f>IF('Tab1'!#REF!&lt;0,"",'Tab1'!#REF!)</f>
        <v>#REF!</v>
      </c>
      <c r="F193" s="6" t="e">
        <f>'Tab1'!#REF!</f>
        <v>#REF!</v>
      </c>
      <c r="G193" s="91" t="e">
        <f>1/'Tab1'!#REF!</f>
        <v>#REF!</v>
      </c>
      <c r="H193" s="91" t="e">
        <f>IF(G193="","",'Tab1'!#REF!)</f>
        <v>#REF!</v>
      </c>
      <c r="I193" s="91" t="e">
        <f>IF(H193="","",'Tab1'!#REF!)</f>
        <v>#REF!</v>
      </c>
      <c r="J193" s="91" t="e">
        <f>IF(I193="","",'Tab1'!#REF!)</f>
        <v>#REF!</v>
      </c>
      <c r="K193" s="91" t="e">
        <f>IF(J193="","",'Tab1'!#REF!)</f>
        <v>#REF!</v>
      </c>
      <c r="L193" s="55"/>
      <c r="M193" s="55"/>
      <c r="N193" s="55"/>
      <c r="O193" s="7"/>
      <c r="P193" s="7"/>
      <c r="Q193" s="7"/>
      <c r="R193" s="7"/>
      <c r="S193" s="7"/>
      <c r="T193" s="7"/>
      <c r="U193" s="7"/>
      <c r="V193" s="5"/>
      <c r="W193" s="98"/>
      <c r="X193" s="98"/>
      <c r="Y193" s="98"/>
      <c r="Z193" s="98"/>
    </row>
    <row r="194" spans="1:26" ht="14.25" customHeight="1" x14ac:dyDescent="0.15">
      <c r="A194" s="344" t="e">
        <f>'Tab1'!#REF!</f>
        <v>#REF!</v>
      </c>
      <c r="B194" s="91" t="e">
        <f>IF('Tab1'!#REF!&lt;&gt;"",'Tab1'!#REF!,"")</f>
        <v>#REF!</v>
      </c>
      <c r="C194" s="91" t="e">
        <f>'Tab1'!#REF!</f>
        <v>#REF!</v>
      </c>
      <c r="D194" s="91" t="e">
        <f>'Tab1'!#REF!</f>
        <v>#REF!</v>
      </c>
      <c r="E194" s="91" t="e">
        <f>IF('Tab1'!#REF!&lt;0,"",'Tab1'!#REF!)</f>
        <v>#REF!</v>
      </c>
      <c r="F194" s="6" t="e">
        <f>'Tab1'!#REF!</f>
        <v>#REF!</v>
      </c>
      <c r="G194" s="91" t="e">
        <f>1/'Tab1'!#REF!</f>
        <v>#REF!</v>
      </c>
      <c r="H194" s="91" t="e">
        <f>IF(G194="","",'Tab1'!#REF!)</f>
        <v>#REF!</v>
      </c>
      <c r="I194" s="91" t="e">
        <f>IF(H194="","",'Tab1'!#REF!)</f>
        <v>#REF!</v>
      </c>
      <c r="J194" s="91" t="e">
        <f>IF(I194="","",'Tab1'!#REF!)</f>
        <v>#REF!</v>
      </c>
      <c r="K194" s="91" t="e">
        <f>IF(J194="","",'Tab1'!#REF!)</f>
        <v>#REF!</v>
      </c>
      <c r="L194" s="55"/>
      <c r="M194" s="55"/>
      <c r="N194" s="55"/>
      <c r="O194" s="7"/>
      <c r="P194" s="7"/>
      <c r="Q194" s="7"/>
      <c r="R194" s="7"/>
      <c r="S194" s="7"/>
      <c r="T194" s="7"/>
      <c r="U194" s="7"/>
      <c r="V194" s="5"/>
      <c r="W194" s="98"/>
      <c r="X194" s="98"/>
      <c r="Y194" s="98"/>
      <c r="Z194" s="98"/>
    </row>
    <row r="195" spans="1:26" ht="14.25" customHeight="1" x14ac:dyDescent="0.15">
      <c r="A195" s="344" t="e">
        <f>'Tab1'!#REF!</f>
        <v>#REF!</v>
      </c>
      <c r="B195" s="91" t="e">
        <f>IF('Tab1'!#REF!&lt;&gt;"",'Tab1'!#REF!,"")</f>
        <v>#REF!</v>
      </c>
      <c r="C195" s="91" t="e">
        <f>'Tab1'!#REF!</f>
        <v>#REF!</v>
      </c>
      <c r="D195" s="91" t="e">
        <f>'Tab1'!#REF!</f>
        <v>#REF!</v>
      </c>
      <c r="E195" s="91" t="e">
        <f>IF('Tab1'!#REF!&lt;0,"",'Tab1'!#REF!)</f>
        <v>#REF!</v>
      </c>
      <c r="F195" s="6" t="e">
        <f>'Tab1'!#REF!</f>
        <v>#REF!</v>
      </c>
      <c r="G195" s="91" t="e">
        <f>1/'Tab1'!#REF!</f>
        <v>#REF!</v>
      </c>
      <c r="H195" s="91" t="e">
        <f>IF(G195="","",'Tab1'!#REF!)</f>
        <v>#REF!</v>
      </c>
      <c r="I195" s="91" t="e">
        <f>IF(H195="","",'Tab1'!#REF!)</f>
        <v>#REF!</v>
      </c>
      <c r="J195" s="91" t="e">
        <f>IF(I195="","",'Tab1'!#REF!)</f>
        <v>#REF!</v>
      </c>
      <c r="K195" s="91" t="e">
        <f>IF(J195="","",'Tab1'!#REF!)</f>
        <v>#REF!</v>
      </c>
      <c r="L195" s="55"/>
      <c r="M195" s="55"/>
      <c r="N195" s="55"/>
      <c r="O195" s="7"/>
      <c r="P195" s="7"/>
      <c r="Q195" s="7"/>
      <c r="R195" s="7"/>
      <c r="S195" s="7"/>
      <c r="T195" s="7"/>
      <c r="U195" s="7"/>
      <c r="V195" s="5"/>
      <c r="W195" s="98"/>
      <c r="X195" s="98"/>
      <c r="Y195" s="98"/>
      <c r="Z195" s="98"/>
    </row>
    <row r="196" spans="1:26" ht="14.25" customHeight="1" x14ac:dyDescent="0.15">
      <c r="A196" s="344" t="e">
        <f>'Tab1'!#REF!</f>
        <v>#REF!</v>
      </c>
      <c r="B196" s="91" t="e">
        <f>IF('Tab1'!#REF!&lt;&gt;"",'Tab1'!#REF!,"")</f>
        <v>#REF!</v>
      </c>
      <c r="C196" s="91" t="e">
        <f>'Tab1'!#REF!</f>
        <v>#REF!</v>
      </c>
      <c r="D196" s="91" t="e">
        <f>'Tab1'!#REF!</f>
        <v>#REF!</v>
      </c>
      <c r="E196" s="91" t="e">
        <f>IF('Tab1'!#REF!&lt;0,"",'Tab1'!#REF!)</f>
        <v>#REF!</v>
      </c>
      <c r="F196" s="6" t="e">
        <f>'Tab1'!#REF!</f>
        <v>#REF!</v>
      </c>
      <c r="G196" s="91" t="e">
        <f>1/'Tab1'!#REF!</f>
        <v>#REF!</v>
      </c>
      <c r="H196" s="91" t="e">
        <f>IF(G196="","",'Tab1'!#REF!)</f>
        <v>#REF!</v>
      </c>
      <c r="I196" s="91" t="e">
        <f>IF(H196="","",'Tab1'!#REF!)</f>
        <v>#REF!</v>
      </c>
      <c r="J196" s="91" t="e">
        <f>IF(I196="","",'Tab1'!#REF!)</f>
        <v>#REF!</v>
      </c>
      <c r="K196" s="91" t="e">
        <f>IF(J196="","",'Tab1'!#REF!)</f>
        <v>#REF!</v>
      </c>
      <c r="L196" s="55"/>
      <c r="M196" s="55"/>
      <c r="N196" s="55"/>
      <c r="O196" s="7"/>
      <c r="P196" s="7"/>
      <c r="Q196" s="7"/>
      <c r="R196" s="7"/>
      <c r="S196" s="7"/>
      <c r="T196" s="7"/>
      <c r="U196" s="7"/>
      <c r="V196" s="5"/>
      <c r="W196" s="98"/>
      <c r="X196" s="98"/>
      <c r="Y196" s="98"/>
      <c r="Z196" s="98"/>
    </row>
    <row r="197" spans="1:26" ht="14.25" customHeight="1" x14ac:dyDescent="0.15">
      <c r="A197" s="344" t="e">
        <f>'Tab1'!#REF!</f>
        <v>#REF!</v>
      </c>
      <c r="B197" s="91" t="e">
        <f>IF('Tab1'!#REF!&lt;&gt;"",'Tab1'!#REF!,"")</f>
        <v>#REF!</v>
      </c>
      <c r="C197" s="91" t="e">
        <f>'Tab1'!#REF!</f>
        <v>#REF!</v>
      </c>
      <c r="D197" s="91" t="e">
        <f>'Tab1'!#REF!</f>
        <v>#REF!</v>
      </c>
      <c r="E197" s="91" t="e">
        <f>IF('Tab1'!#REF!&lt;0,"",'Tab1'!#REF!)</f>
        <v>#REF!</v>
      </c>
      <c r="F197" s="6" t="e">
        <f>'Tab1'!#REF!</f>
        <v>#REF!</v>
      </c>
      <c r="G197" s="91" t="e">
        <f>1/'Tab1'!#REF!</f>
        <v>#REF!</v>
      </c>
      <c r="H197" s="91" t="e">
        <f>IF(G197="","",'Tab1'!#REF!)</f>
        <v>#REF!</v>
      </c>
      <c r="I197" s="91" t="e">
        <f>IF(H197="","",'Tab1'!#REF!)</f>
        <v>#REF!</v>
      </c>
      <c r="J197" s="91" t="e">
        <f>IF(I197="","",'Tab1'!#REF!)</f>
        <v>#REF!</v>
      </c>
      <c r="K197" s="91" t="e">
        <f>IF(J197="","",'Tab1'!#REF!)</f>
        <v>#REF!</v>
      </c>
      <c r="L197" s="55"/>
      <c r="M197" s="55"/>
      <c r="N197" s="55"/>
      <c r="O197" s="7"/>
      <c r="P197" s="7"/>
      <c r="Q197" s="7"/>
      <c r="R197" s="7"/>
      <c r="S197" s="7"/>
      <c r="T197" s="7"/>
      <c r="U197" s="7"/>
      <c r="V197" s="5"/>
      <c r="W197" s="98"/>
      <c r="X197" s="98"/>
      <c r="Y197" s="98"/>
      <c r="Z197" s="98"/>
    </row>
    <row r="198" spans="1:26" ht="14.25" customHeight="1" x14ac:dyDescent="0.15">
      <c r="A198" s="344" t="e">
        <f>'Tab1'!#REF!</f>
        <v>#REF!</v>
      </c>
      <c r="B198" s="91" t="e">
        <f>IF('Tab1'!#REF!&lt;&gt;"",'Tab1'!#REF!,"")</f>
        <v>#REF!</v>
      </c>
      <c r="C198" s="91" t="e">
        <f>'Tab1'!#REF!</f>
        <v>#REF!</v>
      </c>
      <c r="D198" s="91" t="e">
        <f>'Tab1'!#REF!</f>
        <v>#REF!</v>
      </c>
      <c r="E198" s="91" t="e">
        <f>IF('Tab1'!#REF!&lt;0,"",'Tab1'!#REF!)</f>
        <v>#REF!</v>
      </c>
      <c r="F198" s="6" t="e">
        <f>'Tab1'!#REF!</f>
        <v>#REF!</v>
      </c>
      <c r="G198" s="91" t="e">
        <f>1/'Tab1'!#REF!</f>
        <v>#REF!</v>
      </c>
      <c r="H198" s="91" t="e">
        <f>IF(G198="","",'Tab1'!#REF!)</f>
        <v>#REF!</v>
      </c>
      <c r="I198" s="91" t="e">
        <f>IF(H198="","",'Tab1'!#REF!)</f>
        <v>#REF!</v>
      </c>
      <c r="J198" s="91" t="e">
        <f>IF(I198="","",'Tab1'!#REF!)</f>
        <v>#REF!</v>
      </c>
      <c r="K198" s="91" t="e">
        <f>IF(J198="","",'Tab1'!#REF!)</f>
        <v>#REF!</v>
      </c>
      <c r="L198" s="55"/>
      <c r="M198" s="55"/>
      <c r="N198" s="55"/>
      <c r="O198" s="7"/>
      <c r="P198" s="7"/>
      <c r="Q198" s="7"/>
      <c r="R198" s="7"/>
      <c r="S198" s="7"/>
      <c r="T198" s="7"/>
      <c r="U198" s="7"/>
      <c r="V198" s="5"/>
      <c r="W198" s="98"/>
      <c r="X198" s="98"/>
      <c r="Y198" s="98"/>
      <c r="Z198" s="98"/>
    </row>
    <row r="199" spans="1:26" ht="14.25" customHeight="1" x14ac:dyDescent="0.15">
      <c r="A199" s="344" t="e">
        <f>'Tab1'!#REF!</f>
        <v>#REF!</v>
      </c>
      <c r="B199" s="91" t="e">
        <f>IF('Tab1'!#REF!&lt;&gt;"",'Tab1'!#REF!,"")</f>
        <v>#REF!</v>
      </c>
      <c r="C199" s="91" t="e">
        <f>'Tab1'!#REF!</f>
        <v>#REF!</v>
      </c>
      <c r="D199" s="91" t="e">
        <f>'Tab1'!#REF!</f>
        <v>#REF!</v>
      </c>
      <c r="E199" s="91" t="e">
        <f>IF('Tab1'!#REF!&lt;0,"",'Tab1'!#REF!)</f>
        <v>#REF!</v>
      </c>
      <c r="F199" s="6" t="e">
        <f>'Tab1'!#REF!</f>
        <v>#REF!</v>
      </c>
      <c r="G199" s="91" t="e">
        <f>1/'Tab1'!#REF!</f>
        <v>#REF!</v>
      </c>
      <c r="H199" s="91" t="e">
        <f>IF(G199="","",'Tab1'!#REF!)</f>
        <v>#REF!</v>
      </c>
      <c r="I199" s="91" t="e">
        <f>IF(H199="","",'Tab1'!#REF!)</f>
        <v>#REF!</v>
      </c>
      <c r="J199" s="91" t="e">
        <f>IF(I199="","",'Tab1'!#REF!)</f>
        <v>#REF!</v>
      </c>
      <c r="K199" s="91" t="e">
        <f>IF(J199="","",'Tab1'!#REF!)</f>
        <v>#REF!</v>
      </c>
      <c r="L199" s="55"/>
      <c r="M199" s="55"/>
      <c r="N199" s="55"/>
      <c r="O199" s="7"/>
      <c r="P199" s="7"/>
      <c r="Q199" s="7"/>
      <c r="R199" s="7"/>
      <c r="S199" s="7"/>
      <c r="T199" s="7"/>
      <c r="U199" s="7"/>
      <c r="V199" s="5"/>
      <c r="W199" s="98"/>
      <c r="X199" s="98"/>
      <c r="Y199" s="98"/>
      <c r="Z199" s="98"/>
    </row>
    <row r="200" spans="1:26" ht="14.25" customHeight="1" x14ac:dyDescent="0.15">
      <c r="A200" s="344" t="e">
        <f>'Tab1'!#REF!</f>
        <v>#REF!</v>
      </c>
      <c r="B200" s="91" t="e">
        <f>IF('Tab1'!#REF!&lt;&gt;"",'Tab1'!#REF!,"")</f>
        <v>#REF!</v>
      </c>
      <c r="C200" s="91" t="e">
        <f>'Tab1'!#REF!</f>
        <v>#REF!</v>
      </c>
      <c r="D200" s="91" t="e">
        <f>'Tab1'!#REF!</f>
        <v>#REF!</v>
      </c>
      <c r="E200" s="91" t="e">
        <f>IF('Tab1'!#REF!&lt;0,"",'Tab1'!#REF!)</f>
        <v>#REF!</v>
      </c>
      <c r="F200" s="6" t="e">
        <f>'Tab1'!#REF!</f>
        <v>#REF!</v>
      </c>
      <c r="G200" s="91" t="e">
        <f>1/'Tab1'!#REF!</f>
        <v>#REF!</v>
      </c>
      <c r="H200" s="91" t="e">
        <f>IF(G200="","",'Tab1'!#REF!)</f>
        <v>#REF!</v>
      </c>
      <c r="I200" s="91" t="e">
        <f>IF(H200="","",'Tab1'!#REF!)</f>
        <v>#REF!</v>
      </c>
      <c r="J200" s="91" t="e">
        <f>IF(I200="","",'Tab1'!#REF!)</f>
        <v>#REF!</v>
      </c>
      <c r="K200" s="91" t="e">
        <f>IF(J200="","",'Tab1'!#REF!)</f>
        <v>#REF!</v>
      </c>
      <c r="L200" s="55"/>
      <c r="M200" s="55"/>
      <c r="N200" s="55"/>
      <c r="O200" s="7"/>
      <c r="P200" s="7"/>
      <c r="Q200" s="7"/>
      <c r="R200" s="7"/>
      <c r="S200" s="7"/>
      <c r="T200" s="7"/>
      <c r="U200" s="7"/>
      <c r="V200" s="5"/>
      <c r="W200" s="98"/>
      <c r="X200" s="98"/>
      <c r="Y200" s="98"/>
      <c r="Z200" s="98"/>
    </row>
    <row r="201" spans="1:26" ht="14.25" customHeight="1" x14ac:dyDescent="0.15">
      <c r="A201" s="344" t="e">
        <f>'Tab1'!#REF!</f>
        <v>#REF!</v>
      </c>
      <c r="B201" s="91" t="e">
        <f>IF('Tab1'!#REF!&lt;&gt;"",'Tab1'!#REF!,"")</f>
        <v>#REF!</v>
      </c>
      <c r="C201" s="91" t="e">
        <f>'Tab1'!#REF!</f>
        <v>#REF!</v>
      </c>
      <c r="D201" s="91" t="e">
        <f>'Tab1'!#REF!</f>
        <v>#REF!</v>
      </c>
      <c r="E201" s="91" t="e">
        <f>IF('Tab1'!#REF!&lt;0,"",'Tab1'!#REF!)</f>
        <v>#REF!</v>
      </c>
      <c r="F201" s="6" t="e">
        <f>'Tab1'!#REF!</f>
        <v>#REF!</v>
      </c>
      <c r="G201" s="91" t="e">
        <f>1/'Tab1'!#REF!</f>
        <v>#REF!</v>
      </c>
      <c r="H201" s="91" t="e">
        <f>IF(G201="","",'Tab1'!#REF!)</f>
        <v>#REF!</v>
      </c>
      <c r="I201" s="91" t="e">
        <f>IF(H201="","",'Tab1'!#REF!)</f>
        <v>#REF!</v>
      </c>
      <c r="J201" s="91" t="e">
        <f>IF(I201="","",'Tab1'!#REF!)</f>
        <v>#REF!</v>
      </c>
      <c r="K201" s="91" t="e">
        <f>IF(J201="","",'Tab1'!#REF!)</f>
        <v>#REF!</v>
      </c>
      <c r="L201" s="55"/>
      <c r="M201" s="55"/>
      <c r="N201" s="55"/>
      <c r="O201" s="7"/>
      <c r="P201" s="7"/>
      <c r="Q201" s="7"/>
      <c r="R201" s="7"/>
      <c r="S201" s="7"/>
      <c r="T201" s="7"/>
      <c r="U201" s="7"/>
      <c r="V201" s="5"/>
      <c r="W201" s="98"/>
      <c r="X201" s="98"/>
      <c r="Y201" s="98"/>
      <c r="Z201" s="98"/>
    </row>
    <row r="202" spans="1:26" ht="14.25" customHeight="1" x14ac:dyDescent="0.15">
      <c r="A202" s="344" t="e">
        <f>'Tab1'!#REF!</f>
        <v>#REF!</v>
      </c>
      <c r="B202" s="91" t="e">
        <f>IF('Tab1'!#REF!&lt;&gt;"",'Tab1'!#REF!,"")</f>
        <v>#REF!</v>
      </c>
      <c r="C202" s="91" t="e">
        <f>'Tab1'!#REF!</f>
        <v>#REF!</v>
      </c>
      <c r="D202" s="91" t="e">
        <f>'Tab1'!#REF!</f>
        <v>#REF!</v>
      </c>
      <c r="E202" s="91" t="e">
        <f>IF('Tab1'!#REF!&lt;0,"",'Tab1'!#REF!)</f>
        <v>#REF!</v>
      </c>
      <c r="F202" s="6" t="e">
        <f>'Tab1'!#REF!</f>
        <v>#REF!</v>
      </c>
      <c r="G202" s="91" t="e">
        <f>1/'Tab1'!#REF!</f>
        <v>#REF!</v>
      </c>
      <c r="H202" s="91" t="e">
        <f>IF(G202="","",'Tab1'!#REF!)</f>
        <v>#REF!</v>
      </c>
      <c r="I202" s="91" t="e">
        <f>IF(H202="","",'Tab1'!#REF!)</f>
        <v>#REF!</v>
      </c>
      <c r="J202" s="91" t="e">
        <f>IF(I202="","",'Tab1'!#REF!)</f>
        <v>#REF!</v>
      </c>
      <c r="K202" s="91" t="e">
        <f>IF(J202="","",'Tab1'!#REF!)</f>
        <v>#REF!</v>
      </c>
      <c r="L202" s="55"/>
      <c r="M202" s="55"/>
      <c r="N202" s="55"/>
      <c r="O202" s="7"/>
      <c r="P202" s="7"/>
      <c r="Q202" s="7"/>
      <c r="R202" s="7"/>
      <c r="S202" s="7"/>
      <c r="T202" s="7"/>
      <c r="U202" s="7"/>
      <c r="V202" s="5"/>
      <c r="W202" s="98"/>
      <c r="X202" s="98"/>
      <c r="Y202" s="98"/>
      <c r="Z202" s="98"/>
    </row>
    <row r="203" spans="1:26" ht="14.25" customHeight="1" x14ac:dyDescent="0.15">
      <c r="A203" s="344" t="e">
        <f>'Tab1'!#REF!</f>
        <v>#REF!</v>
      </c>
      <c r="B203" s="91" t="e">
        <f>IF('Tab1'!#REF!&lt;&gt;"",'Tab1'!#REF!,"")</f>
        <v>#REF!</v>
      </c>
      <c r="C203" s="91" t="e">
        <f>'Tab1'!#REF!</f>
        <v>#REF!</v>
      </c>
      <c r="D203" s="91" t="e">
        <f>'Tab1'!#REF!</f>
        <v>#REF!</v>
      </c>
      <c r="E203" s="91" t="e">
        <f>IF('Tab1'!#REF!&lt;0,"",'Tab1'!#REF!)</f>
        <v>#REF!</v>
      </c>
      <c r="F203" s="6" t="e">
        <f>'Tab1'!#REF!</f>
        <v>#REF!</v>
      </c>
      <c r="G203" s="91" t="e">
        <f>1/'Tab1'!#REF!</f>
        <v>#REF!</v>
      </c>
      <c r="H203" s="91" t="e">
        <f>IF(G203="","",'Tab1'!#REF!)</f>
        <v>#REF!</v>
      </c>
      <c r="I203" s="91" t="e">
        <f>IF(H203="","",'Tab1'!#REF!)</f>
        <v>#REF!</v>
      </c>
      <c r="J203" s="91" t="e">
        <f>IF(I203="","",'Tab1'!#REF!)</f>
        <v>#REF!</v>
      </c>
      <c r="K203" s="91" t="e">
        <f>IF(J203="","",'Tab1'!#REF!)</f>
        <v>#REF!</v>
      </c>
      <c r="L203" s="55"/>
      <c r="M203" s="55"/>
      <c r="N203" s="55"/>
      <c r="O203" s="7"/>
      <c r="P203" s="7"/>
      <c r="Q203" s="7"/>
      <c r="R203" s="7"/>
      <c r="S203" s="7"/>
      <c r="T203" s="7"/>
      <c r="U203" s="7"/>
      <c r="V203" s="5"/>
      <c r="W203" s="98"/>
      <c r="X203" s="98"/>
      <c r="Y203" s="98"/>
      <c r="Z203" s="98"/>
    </row>
    <row r="204" spans="1:26" ht="14.25" customHeight="1" x14ac:dyDescent="0.15">
      <c r="A204" s="344" t="e">
        <f>'Tab1'!#REF!</f>
        <v>#REF!</v>
      </c>
      <c r="B204" s="91" t="e">
        <f>IF('Tab1'!#REF!&lt;&gt;"",'Tab1'!#REF!,"")</f>
        <v>#REF!</v>
      </c>
      <c r="C204" s="91" t="e">
        <f>'Tab1'!#REF!</f>
        <v>#REF!</v>
      </c>
      <c r="D204" s="91" t="e">
        <f>'Tab1'!#REF!</f>
        <v>#REF!</v>
      </c>
      <c r="E204" s="91" t="e">
        <f>IF('Tab1'!#REF!&lt;0,"",'Tab1'!#REF!)</f>
        <v>#REF!</v>
      </c>
      <c r="F204" s="6" t="e">
        <f>'Tab1'!#REF!</f>
        <v>#REF!</v>
      </c>
      <c r="G204" s="91" t="e">
        <f>1/'Tab1'!#REF!</f>
        <v>#REF!</v>
      </c>
      <c r="H204" s="91" t="e">
        <f>IF(G204="","",'Tab1'!#REF!)</f>
        <v>#REF!</v>
      </c>
      <c r="I204" s="91" t="e">
        <f>IF(H204="","",'Tab1'!#REF!)</f>
        <v>#REF!</v>
      </c>
      <c r="J204" s="91" t="e">
        <f>IF(I204="","",'Tab1'!#REF!)</f>
        <v>#REF!</v>
      </c>
      <c r="K204" s="91" t="e">
        <f>IF(J204="","",'Tab1'!#REF!)</f>
        <v>#REF!</v>
      </c>
      <c r="L204" s="55"/>
      <c r="M204" s="55"/>
      <c r="N204" s="55"/>
      <c r="O204" s="7"/>
      <c r="P204" s="7"/>
      <c r="Q204" s="7"/>
      <c r="R204" s="7"/>
      <c r="S204" s="7"/>
      <c r="T204" s="7"/>
      <c r="U204" s="7"/>
      <c r="V204" s="5"/>
      <c r="W204" s="98"/>
      <c r="X204" s="98"/>
      <c r="Y204" s="98"/>
      <c r="Z204" s="98"/>
    </row>
    <row r="205" spans="1:26" ht="14.25" customHeight="1" x14ac:dyDescent="0.15">
      <c r="A205" s="344" t="e">
        <f>'Tab1'!#REF!</f>
        <v>#REF!</v>
      </c>
      <c r="B205" s="91" t="e">
        <f>IF('Tab1'!#REF!&lt;&gt;"",'Tab1'!#REF!,"")</f>
        <v>#REF!</v>
      </c>
      <c r="C205" s="91" t="e">
        <f>'Tab1'!#REF!</f>
        <v>#REF!</v>
      </c>
      <c r="D205" s="91" t="e">
        <f>'Tab1'!#REF!</f>
        <v>#REF!</v>
      </c>
      <c r="E205" s="91" t="e">
        <f>IF('Tab1'!#REF!&lt;0,"",'Tab1'!#REF!)</f>
        <v>#REF!</v>
      </c>
      <c r="F205" s="6" t="e">
        <f>'Tab1'!#REF!</f>
        <v>#REF!</v>
      </c>
      <c r="G205" s="91" t="e">
        <f>1/'Tab1'!#REF!</f>
        <v>#REF!</v>
      </c>
      <c r="H205" s="91" t="e">
        <f>IF(G205="","",'Tab1'!#REF!)</f>
        <v>#REF!</v>
      </c>
      <c r="I205" s="91" t="e">
        <f>IF(H205="","",'Tab1'!#REF!)</f>
        <v>#REF!</v>
      </c>
      <c r="J205" s="91" t="e">
        <f>IF(I205="","",'Tab1'!#REF!)</f>
        <v>#REF!</v>
      </c>
      <c r="K205" s="91" t="e">
        <f>IF(J205="","",'Tab1'!#REF!)</f>
        <v>#REF!</v>
      </c>
      <c r="L205" s="55"/>
      <c r="M205" s="55"/>
      <c r="N205" s="55"/>
      <c r="O205" s="7"/>
      <c r="P205" s="7"/>
      <c r="Q205" s="7"/>
      <c r="R205" s="7"/>
      <c r="S205" s="7"/>
      <c r="T205" s="7"/>
      <c r="U205" s="7"/>
      <c r="V205" s="5"/>
      <c r="W205" s="98"/>
      <c r="X205" s="98"/>
      <c r="Y205" s="98"/>
      <c r="Z205" s="98"/>
    </row>
    <row r="206" spans="1:26" ht="14.25" customHeight="1" x14ac:dyDescent="0.15">
      <c r="A206" s="344" t="e">
        <f>'Tab1'!#REF!</f>
        <v>#REF!</v>
      </c>
      <c r="B206" s="91" t="e">
        <f>IF('Tab1'!#REF!&lt;&gt;"",'Tab1'!#REF!,"")</f>
        <v>#REF!</v>
      </c>
      <c r="C206" s="91" t="e">
        <f>'Tab1'!#REF!</f>
        <v>#REF!</v>
      </c>
      <c r="D206" s="91" t="e">
        <f>'Tab1'!#REF!</f>
        <v>#REF!</v>
      </c>
      <c r="E206" s="91" t="e">
        <f>IF('Tab1'!#REF!&lt;0,"",'Tab1'!#REF!)</f>
        <v>#REF!</v>
      </c>
      <c r="F206" s="6" t="e">
        <f>'Tab1'!#REF!</f>
        <v>#REF!</v>
      </c>
      <c r="G206" s="91" t="e">
        <f>1/'Tab1'!#REF!</f>
        <v>#REF!</v>
      </c>
      <c r="H206" s="91" t="e">
        <f>IF(G206="","",'Tab1'!#REF!)</f>
        <v>#REF!</v>
      </c>
      <c r="I206" s="91" t="e">
        <f>IF(H206="","",'Tab1'!#REF!)</f>
        <v>#REF!</v>
      </c>
      <c r="J206" s="91" t="e">
        <f>IF(I206="","",'Tab1'!#REF!)</f>
        <v>#REF!</v>
      </c>
      <c r="K206" s="91" t="e">
        <f>IF(J206="","",'Tab1'!#REF!)</f>
        <v>#REF!</v>
      </c>
      <c r="L206" s="55"/>
      <c r="M206" s="55"/>
      <c r="N206" s="55"/>
      <c r="O206" s="7"/>
      <c r="P206" s="7"/>
      <c r="Q206" s="7"/>
      <c r="R206" s="7"/>
      <c r="S206" s="7"/>
      <c r="T206" s="7"/>
      <c r="U206" s="7"/>
      <c r="V206" s="5"/>
      <c r="W206" s="98"/>
      <c r="X206" s="98"/>
      <c r="Y206" s="98"/>
      <c r="Z206" s="98"/>
    </row>
    <row r="207" spans="1:26" ht="14.25" customHeight="1" x14ac:dyDescent="0.15">
      <c r="A207" s="344" t="e">
        <f>'Tab1'!#REF!</f>
        <v>#REF!</v>
      </c>
      <c r="B207" s="91" t="e">
        <f>IF('Tab1'!#REF!&lt;&gt;"",'Tab1'!#REF!,"")</f>
        <v>#REF!</v>
      </c>
      <c r="C207" s="91" t="e">
        <f>'Tab1'!#REF!</f>
        <v>#REF!</v>
      </c>
      <c r="D207" s="91" t="e">
        <f>'Tab1'!#REF!</f>
        <v>#REF!</v>
      </c>
      <c r="E207" s="91" t="e">
        <f>IF('Tab1'!#REF!&lt;0,"",'Tab1'!#REF!)</f>
        <v>#REF!</v>
      </c>
      <c r="F207" s="6" t="e">
        <f>'Tab1'!#REF!</f>
        <v>#REF!</v>
      </c>
      <c r="G207" s="91" t="e">
        <f>1/'Tab1'!#REF!</f>
        <v>#REF!</v>
      </c>
      <c r="H207" s="91" t="e">
        <f>IF(G207="","",'Tab1'!#REF!)</f>
        <v>#REF!</v>
      </c>
      <c r="I207" s="91" t="e">
        <f>IF(H207="","",'Tab1'!#REF!)</f>
        <v>#REF!</v>
      </c>
      <c r="J207" s="91" t="e">
        <f>IF(I207="","",'Tab1'!#REF!)</f>
        <v>#REF!</v>
      </c>
      <c r="K207" s="91" t="e">
        <f>IF(J207="","",'Tab1'!#REF!)</f>
        <v>#REF!</v>
      </c>
      <c r="L207" s="55"/>
      <c r="M207" s="55"/>
      <c r="N207" s="55"/>
      <c r="O207" s="7"/>
      <c r="P207" s="7"/>
      <c r="Q207" s="7"/>
      <c r="R207" s="7"/>
      <c r="S207" s="7"/>
      <c r="T207" s="7"/>
      <c r="U207" s="7"/>
      <c r="V207" s="5"/>
      <c r="W207" s="98"/>
      <c r="X207" s="98"/>
      <c r="Y207" s="98"/>
      <c r="Z207" s="98"/>
    </row>
    <row r="208" spans="1:26" ht="14.25" customHeight="1" x14ac:dyDescent="0.15">
      <c r="A208" s="344" t="e">
        <f>'Tab1'!#REF!</f>
        <v>#REF!</v>
      </c>
      <c r="B208" s="91" t="e">
        <f>IF('Tab1'!#REF!&lt;&gt;"",'Tab1'!#REF!,"")</f>
        <v>#REF!</v>
      </c>
      <c r="C208" s="91" t="e">
        <f>'Tab1'!#REF!</f>
        <v>#REF!</v>
      </c>
      <c r="D208" s="91" t="e">
        <f>'Tab1'!#REF!</f>
        <v>#REF!</v>
      </c>
      <c r="E208" s="91" t="e">
        <f>IF('Tab1'!#REF!&lt;0,"",'Tab1'!#REF!)</f>
        <v>#REF!</v>
      </c>
      <c r="F208" s="6" t="e">
        <f>'Tab1'!#REF!</f>
        <v>#REF!</v>
      </c>
      <c r="G208" s="91" t="e">
        <f>1/'Tab1'!#REF!</f>
        <v>#REF!</v>
      </c>
      <c r="H208" s="91" t="e">
        <f>IF(G208="","",'Tab1'!#REF!)</f>
        <v>#REF!</v>
      </c>
      <c r="I208" s="91" t="e">
        <f>IF(H208="","",'Tab1'!#REF!)</f>
        <v>#REF!</v>
      </c>
      <c r="J208" s="91" t="e">
        <f>IF(I208="","",'Tab1'!#REF!)</f>
        <v>#REF!</v>
      </c>
      <c r="K208" s="91" t="e">
        <f>IF(J208="","",'Tab1'!#REF!)</f>
        <v>#REF!</v>
      </c>
      <c r="L208" s="55"/>
      <c r="M208" s="55"/>
      <c r="N208" s="55"/>
      <c r="O208" s="7"/>
      <c r="P208" s="7"/>
      <c r="Q208" s="7"/>
      <c r="R208" s="7"/>
      <c r="S208" s="7"/>
      <c r="T208" s="7"/>
      <c r="U208" s="7"/>
      <c r="V208" s="5"/>
      <c r="W208" s="98"/>
      <c r="X208" s="98"/>
      <c r="Y208" s="98"/>
      <c r="Z208" s="98"/>
    </row>
    <row r="209" spans="1:26" ht="14.25" customHeight="1" x14ac:dyDescent="0.15">
      <c r="A209" s="344" t="e">
        <f>'Tab1'!#REF!</f>
        <v>#REF!</v>
      </c>
      <c r="B209" s="91" t="e">
        <f>IF('Tab1'!#REF!&lt;&gt;"",'Tab1'!#REF!,"")</f>
        <v>#REF!</v>
      </c>
      <c r="C209" s="91" t="e">
        <f>'Tab1'!#REF!</f>
        <v>#REF!</v>
      </c>
      <c r="D209" s="91" t="e">
        <f>'Tab1'!#REF!</f>
        <v>#REF!</v>
      </c>
      <c r="E209" s="91" t="e">
        <f>IF('Tab1'!#REF!&lt;0,"",'Tab1'!#REF!)</f>
        <v>#REF!</v>
      </c>
      <c r="F209" s="6" t="e">
        <f>'Tab1'!#REF!</f>
        <v>#REF!</v>
      </c>
      <c r="G209" s="91" t="e">
        <f>1/'Tab1'!#REF!</f>
        <v>#REF!</v>
      </c>
      <c r="H209" s="91" t="e">
        <f>IF(G209="","",'Tab1'!#REF!)</f>
        <v>#REF!</v>
      </c>
      <c r="I209" s="91" t="e">
        <f>IF(H209="","",'Tab1'!#REF!)</f>
        <v>#REF!</v>
      </c>
      <c r="J209" s="91" t="e">
        <f>IF(I209="","",'Tab1'!#REF!)</f>
        <v>#REF!</v>
      </c>
      <c r="K209" s="91" t="e">
        <f>IF(J209="","",'Tab1'!#REF!)</f>
        <v>#REF!</v>
      </c>
      <c r="L209" s="55"/>
      <c r="M209" s="55"/>
      <c r="N209" s="55"/>
      <c r="O209" s="7"/>
      <c r="P209" s="7"/>
      <c r="Q209" s="7"/>
      <c r="R209" s="7"/>
      <c r="S209" s="7"/>
      <c r="T209" s="7"/>
      <c r="U209" s="7"/>
      <c r="V209" s="5"/>
      <c r="W209" s="98"/>
      <c r="X209" s="98"/>
      <c r="Y209" s="98"/>
      <c r="Z209" s="98"/>
    </row>
    <row r="210" spans="1:26" ht="14.25" customHeight="1" x14ac:dyDescent="0.15">
      <c r="A210" s="344" t="e">
        <f>'Tab1'!#REF!</f>
        <v>#REF!</v>
      </c>
      <c r="B210" s="91" t="e">
        <f>IF('Tab1'!#REF!&lt;&gt;"",'Tab1'!#REF!,"")</f>
        <v>#REF!</v>
      </c>
      <c r="C210" s="91" t="e">
        <f>'Tab1'!#REF!</f>
        <v>#REF!</v>
      </c>
      <c r="D210" s="91" t="e">
        <f>'Tab1'!#REF!</f>
        <v>#REF!</v>
      </c>
      <c r="E210" s="91" t="e">
        <f>IF('Tab1'!#REF!&lt;0,"",'Tab1'!#REF!)</f>
        <v>#REF!</v>
      </c>
      <c r="F210" s="6" t="e">
        <f>'Tab1'!#REF!</f>
        <v>#REF!</v>
      </c>
      <c r="G210" s="91" t="e">
        <f>1/'Tab1'!#REF!</f>
        <v>#REF!</v>
      </c>
      <c r="H210" s="91" t="e">
        <f>IF(G210="","",'Tab1'!#REF!)</f>
        <v>#REF!</v>
      </c>
      <c r="I210" s="91" t="e">
        <f>IF(H210="","",'Tab1'!#REF!)</f>
        <v>#REF!</v>
      </c>
      <c r="J210" s="91" t="e">
        <f>IF(I210="","",'Tab1'!#REF!)</f>
        <v>#REF!</v>
      </c>
      <c r="K210" s="91" t="e">
        <f>IF(J210="","",'Tab1'!#REF!)</f>
        <v>#REF!</v>
      </c>
      <c r="L210" s="55"/>
      <c r="M210" s="55"/>
      <c r="N210" s="55"/>
      <c r="O210" s="7"/>
      <c r="P210" s="7"/>
      <c r="Q210" s="7"/>
      <c r="R210" s="7"/>
      <c r="S210" s="7"/>
      <c r="T210" s="7"/>
      <c r="U210" s="7"/>
      <c r="V210" s="5"/>
      <c r="W210" s="98"/>
      <c r="X210" s="98"/>
      <c r="Y210" s="98"/>
      <c r="Z210" s="98"/>
    </row>
    <row r="211" spans="1:26" ht="14.25" customHeight="1" x14ac:dyDescent="0.15">
      <c r="A211" s="344" t="e">
        <f>'Tab1'!#REF!</f>
        <v>#REF!</v>
      </c>
      <c r="B211" s="91" t="e">
        <f>IF('Tab1'!#REF!&lt;&gt;"",'Tab1'!#REF!,"")</f>
        <v>#REF!</v>
      </c>
      <c r="C211" s="91" t="e">
        <f>'Tab1'!#REF!</f>
        <v>#REF!</v>
      </c>
      <c r="D211" s="91" t="e">
        <f>'Tab1'!#REF!</f>
        <v>#REF!</v>
      </c>
      <c r="E211" s="91" t="e">
        <f>IF('Tab1'!#REF!&lt;0,"",'Tab1'!#REF!)</f>
        <v>#REF!</v>
      </c>
      <c r="F211" s="6" t="e">
        <f>'Tab1'!#REF!</f>
        <v>#REF!</v>
      </c>
      <c r="G211" s="91" t="e">
        <f>1/'Tab1'!#REF!</f>
        <v>#REF!</v>
      </c>
      <c r="H211" s="91" t="e">
        <f>IF(G211="","",'Tab1'!#REF!)</f>
        <v>#REF!</v>
      </c>
      <c r="I211" s="91" t="e">
        <f>IF(H211="","",'Tab1'!#REF!)</f>
        <v>#REF!</v>
      </c>
      <c r="J211" s="91" t="e">
        <f>IF(I211="","",'Tab1'!#REF!)</f>
        <v>#REF!</v>
      </c>
      <c r="K211" s="91" t="e">
        <f>IF(J211="","",'Tab1'!#REF!)</f>
        <v>#REF!</v>
      </c>
      <c r="L211" s="55"/>
      <c r="M211" s="55"/>
      <c r="N211" s="55"/>
      <c r="O211" s="7"/>
      <c r="P211" s="7"/>
      <c r="Q211" s="7"/>
      <c r="R211" s="7"/>
      <c r="S211" s="7"/>
      <c r="T211" s="7"/>
      <c r="U211" s="7"/>
      <c r="V211" s="5"/>
      <c r="W211" s="98"/>
      <c r="X211" s="98"/>
      <c r="Y211" s="98"/>
      <c r="Z211" s="98"/>
    </row>
    <row r="212" spans="1:26" ht="14.25" customHeight="1" x14ac:dyDescent="0.15">
      <c r="A212" s="344" t="e">
        <f>'Tab1'!#REF!</f>
        <v>#REF!</v>
      </c>
      <c r="B212" s="91" t="e">
        <f>IF('Tab1'!#REF!&lt;&gt;"",'Tab1'!#REF!,"")</f>
        <v>#REF!</v>
      </c>
      <c r="C212" s="91" t="e">
        <f>'Tab1'!#REF!</f>
        <v>#REF!</v>
      </c>
      <c r="D212" s="91" t="e">
        <f>'Tab1'!#REF!</f>
        <v>#REF!</v>
      </c>
      <c r="E212" s="91" t="e">
        <f>IF('Tab1'!#REF!&lt;0,"",'Tab1'!#REF!)</f>
        <v>#REF!</v>
      </c>
      <c r="F212" s="6" t="e">
        <f>'Tab1'!#REF!</f>
        <v>#REF!</v>
      </c>
      <c r="G212" s="91" t="e">
        <f>1/'Tab1'!#REF!</f>
        <v>#REF!</v>
      </c>
      <c r="H212" s="91" t="e">
        <f>IF(G212="","",'Tab1'!#REF!)</f>
        <v>#REF!</v>
      </c>
      <c r="I212" s="91" t="e">
        <f>IF(H212="","",'Tab1'!#REF!)</f>
        <v>#REF!</v>
      </c>
      <c r="J212" s="91" t="e">
        <f>IF(I212="","",'Tab1'!#REF!)</f>
        <v>#REF!</v>
      </c>
      <c r="K212" s="91" t="e">
        <f>IF(J212="","",'Tab1'!#REF!)</f>
        <v>#REF!</v>
      </c>
      <c r="L212" s="55"/>
      <c r="M212" s="55"/>
      <c r="N212" s="55"/>
      <c r="O212" s="7"/>
      <c r="P212" s="7"/>
      <c r="Q212" s="7"/>
      <c r="R212" s="7"/>
      <c r="S212" s="7"/>
      <c r="T212" s="7"/>
      <c r="U212" s="7"/>
      <c r="V212" s="5"/>
      <c r="W212" s="98"/>
      <c r="X212" s="98"/>
      <c r="Y212" s="98"/>
      <c r="Z212" s="98"/>
    </row>
    <row r="213" spans="1:26" ht="14.25" customHeight="1" x14ac:dyDescent="0.15">
      <c r="A213" s="344">
        <f>'Tab1'!A383</f>
        <v>0</v>
      </c>
      <c r="B213" s="91" t="str">
        <f>IF('Tab1'!B383&lt;&gt;"",'Tab1'!B383,"")</f>
        <v/>
      </c>
      <c r="C213" s="91">
        <f>'Tab1'!F383</f>
        <v>0</v>
      </c>
      <c r="D213" s="91" t="e">
        <f>'Tab1'!#REF!</f>
        <v>#REF!</v>
      </c>
      <c r="E213" s="91">
        <f>IF('Tab1'!AH383&lt;0,"",'Tab1'!AH383)</f>
        <v>0</v>
      </c>
      <c r="F213" s="6" t="e">
        <f>'Tab1'!#REF!</f>
        <v>#REF!</v>
      </c>
      <c r="G213" s="91" t="e">
        <f>1/'Tab1'!#REF!</f>
        <v>#REF!</v>
      </c>
      <c r="H213" s="91" t="e">
        <f>IF(G213="","",'Tab1'!#REF!)</f>
        <v>#REF!</v>
      </c>
      <c r="I213" s="91" t="e">
        <f>IF(H213="","",'Tab1'!Y383)</f>
        <v>#REF!</v>
      </c>
      <c r="J213" s="91" t="e">
        <f>IF(I213="","",'Tab1'!Z383)</f>
        <v>#REF!</v>
      </c>
      <c r="K213" s="91" t="e">
        <f>IF(J213="","",'Tab1'!#REF!)</f>
        <v>#REF!</v>
      </c>
      <c r="L213" s="55"/>
      <c r="M213" s="55"/>
      <c r="N213" s="55"/>
      <c r="O213" s="7"/>
      <c r="P213" s="7"/>
      <c r="Q213" s="7"/>
      <c r="R213" s="7"/>
      <c r="S213" s="7"/>
      <c r="T213" s="7"/>
      <c r="U213" s="7"/>
      <c r="V213" s="5"/>
      <c r="W213" s="98"/>
      <c r="X213" s="98"/>
      <c r="Y213" s="98"/>
      <c r="Z213" s="98"/>
    </row>
    <row r="214" spans="1:26" ht="14.25" customHeight="1" x14ac:dyDescent="0.15">
      <c r="A214" s="344" t="e">
        <f>'Tab1'!#REF!</f>
        <v>#REF!</v>
      </c>
      <c r="B214" s="91" t="e">
        <f>IF('Tab1'!#REF!&lt;&gt;"",'Tab1'!#REF!,"")</f>
        <v>#REF!</v>
      </c>
      <c r="C214" s="91" t="e">
        <f>'Tab1'!#REF!</f>
        <v>#REF!</v>
      </c>
      <c r="D214" s="91" t="e">
        <f>'Tab1'!#REF!</f>
        <v>#REF!</v>
      </c>
      <c r="E214" s="91" t="e">
        <f>IF('Tab1'!#REF!&lt;0,"",'Tab1'!#REF!)</f>
        <v>#REF!</v>
      </c>
      <c r="F214" s="6" t="e">
        <f>'Tab1'!#REF!</f>
        <v>#REF!</v>
      </c>
      <c r="G214" s="91" t="e">
        <f>1/'Tab1'!#REF!</f>
        <v>#REF!</v>
      </c>
      <c r="H214" s="91" t="e">
        <f>IF(G214="","",'Tab1'!#REF!)</f>
        <v>#REF!</v>
      </c>
      <c r="I214" s="91" t="e">
        <f>IF(H214="","",'Tab1'!#REF!)</f>
        <v>#REF!</v>
      </c>
      <c r="J214" s="91" t="e">
        <f>IF(I214="","",'Tab1'!#REF!)</f>
        <v>#REF!</v>
      </c>
      <c r="K214" s="91" t="e">
        <f>IF(J214="","",'Tab1'!#REF!)</f>
        <v>#REF!</v>
      </c>
      <c r="L214" s="55"/>
      <c r="M214" s="55"/>
      <c r="N214" s="55"/>
      <c r="O214" s="7"/>
      <c r="P214" s="7"/>
      <c r="Q214" s="7"/>
      <c r="R214" s="7"/>
      <c r="S214" s="7"/>
      <c r="T214" s="7"/>
      <c r="U214" s="7"/>
      <c r="V214" s="5"/>
      <c r="W214" s="98"/>
      <c r="X214" s="98"/>
      <c r="Y214" s="98"/>
      <c r="Z214" s="98"/>
    </row>
    <row r="215" spans="1:26" ht="14.25" customHeight="1" x14ac:dyDescent="0.15">
      <c r="A215" s="344" t="e">
        <f>'Tab1'!#REF!</f>
        <v>#REF!</v>
      </c>
      <c r="B215" s="91" t="e">
        <f>IF('Tab1'!#REF!&lt;&gt;"",'Tab1'!#REF!,"")</f>
        <v>#REF!</v>
      </c>
      <c r="C215" s="91" t="e">
        <f>'Tab1'!#REF!</f>
        <v>#REF!</v>
      </c>
      <c r="D215" s="91" t="e">
        <f>'Tab1'!#REF!</f>
        <v>#REF!</v>
      </c>
      <c r="E215" s="91" t="e">
        <f>IF('Tab1'!#REF!&lt;0,"",'Tab1'!#REF!)</f>
        <v>#REF!</v>
      </c>
      <c r="F215" s="6" t="e">
        <f>'Tab1'!#REF!</f>
        <v>#REF!</v>
      </c>
      <c r="G215" s="91" t="e">
        <f>1/'Tab1'!#REF!</f>
        <v>#REF!</v>
      </c>
      <c r="H215" s="91" t="e">
        <f>IF(G215="","",'Tab1'!#REF!)</f>
        <v>#REF!</v>
      </c>
      <c r="I215" s="91" t="e">
        <f>IF(H215="","",'Tab1'!#REF!)</f>
        <v>#REF!</v>
      </c>
      <c r="J215" s="91" t="e">
        <f>IF(I215="","",'Tab1'!#REF!)</f>
        <v>#REF!</v>
      </c>
      <c r="K215" s="91" t="e">
        <f>IF(J215="","",'Tab1'!#REF!)</f>
        <v>#REF!</v>
      </c>
      <c r="L215" s="55"/>
      <c r="M215" s="55"/>
      <c r="N215" s="55"/>
      <c r="O215" s="7"/>
      <c r="P215" s="7"/>
      <c r="Q215" s="7"/>
      <c r="R215" s="7"/>
      <c r="S215" s="7"/>
      <c r="T215" s="7"/>
      <c r="U215" s="7"/>
      <c r="V215" s="5"/>
      <c r="W215" s="98"/>
      <c r="X215" s="98"/>
      <c r="Y215" s="98"/>
      <c r="Z215" s="98"/>
    </row>
    <row r="216" spans="1:26" ht="14.25" customHeight="1" x14ac:dyDescent="0.15">
      <c r="A216" s="344" t="e">
        <f>'Tab1'!#REF!</f>
        <v>#REF!</v>
      </c>
      <c r="B216" s="91" t="e">
        <f>IF('Tab1'!#REF!&lt;&gt;"",'Tab1'!#REF!,"")</f>
        <v>#REF!</v>
      </c>
      <c r="C216" s="91" t="e">
        <f>'Tab1'!#REF!</f>
        <v>#REF!</v>
      </c>
      <c r="D216" s="91" t="e">
        <f>'Tab1'!#REF!</f>
        <v>#REF!</v>
      </c>
      <c r="E216" s="91" t="e">
        <f>IF('Tab1'!#REF!&lt;0,"",'Tab1'!#REF!)</f>
        <v>#REF!</v>
      </c>
      <c r="F216" s="6" t="e">
        <f>'Tab1'!#REF!</f>
        <v>#REF!</v>
      </c>
      <c r="G216" s="91" t="e">
        <f>1/'Tab1'!#REF!</f>
        <v>#REF!</v>
      </c>
      <c r="H216" s="91" t="e">
        <f>IF(G216="","",'Tab1'!#REF!)</f>
        <v>#REF!</v>
      </c>
      <c r="I216" s="91" t="e">
        <f>IF(H216="","",'Tab1'!#REF!)</f>
        <v>#REF!</v>
      </c>
      <c r="J216" s="91" t="e">
        <f>IF(I216="","",'Tab1'!#REF!)</f>
        <v>#REF!</v>
      </c>
      <c r="K216" s="91" t="e">
        <f>IF(J216="","",'Tab1'!#REF!)</f>
        <v>#REF!</v>
      </c>
      <c r="L216" s="55"/>
      <c r="M216" s="55"/>
      <c r="N216" s="55"/>
      <c r="O216" s="7"/>
      <c r="P216" s="7"/>
      <c r="Q216" s="7"/>
      <c r="R216" s="7"/>
      <c r="S216" s="7"/>
      <c r="T216" s="7"/>
      <c r="U216" s="7"/>
      <c r="V216" s="5"/>
      <c r="W216" s="98"/>
      <c r="X216" s="98"/>
      <c r="Y216" s="98"/>
      <c r="Z216" s="98"/>
    </row>
    <row r="217" spans="1:26" ht="14.25" customHeight="1" x14ac:dyDescent="0.15">
      <c r="A217" s="344" t="e">
        <f>'Tab1'!#REF!</f>
        <v>#REF!</v>
      </c>
      <c r="B217" s="91" t="e">
        <f>IF('Tab1'!#REF!&lt;&gt;"",'Tab1'!#REF!,"")</f>
        <v>#REF!</v>
      </c>
      <c r="C217" s="91" t="e">
        <f>'Tab1'!#REF!</f>
        <v>#REF!</v>
      </c>
      <c r="D217" s="91" t="e">
        <f>'Tab1'!#REF!</f>
        <v>#REF!</v>
      </c>
      <c r="E217" s="91" t="e">
        <f>IF('Tab1'!#REF!&lt;0,"",'Tab1'!#REF!)</f>
        <v>#REF!</v>
      </c>
      <c r="F217" s="6" t="e">
        <f>'Tab1'!#REF!</f>
        <v>#REF!</v>
      </c>
      <c r="G217" s="91" t="e">
        <f>1/'Tab1'!#REF!</f>
        <v>#REF!</v>
      </c>
      <c r="H217" s="91" t="e">
        <f>IF(G217="","",'Tab1'!#REF!)</f>
        <v>#REF!</v>
      </c>
      <c r="I217" s="91" t="e">
        <f>IF(H217="","",'Tab1'!#REF!)</f>
        <v>#REF!</v>
      </c>
      <c r="J217" s="91" t="e">
        <f>IF(I217="","",'Tab1'!#REF!)</f>
        <v>#REF!</v>
      </c>
      <c r="K217" s="91" t="e">
        <f>IF(J217="","",'Tab1'!#REF!)</f>
        <v>#REF!</v>
      </c>
      <c r="L217" s="55"/>
      <c r="M217" s="55"/>
      <c r="N217" s="55"/>
      <c r="O217" s="7"/>
      <c r="P217" s="7"/>
      <c r="Q217" s="7"/>
      <c r="R217" s="7"/>
      <c r="S217" s="7"/>
      <c r="T217" s="7"/>
      <c r="U217" s="7"/>
      <c r="V217" s="5"/>
      <c r="W217" s="98"/>
      <c r="X217" s="98"/>
      <c r="Y217" s="98"/>
      <c r="Z217" s="98"/>
    </row>
    <row r="218" spans="1:26" ht="14.25" customHeight="1" x14ac:dyDescent="0.15">
      <c r="A218" s="344" t="e">
        <f>'Tab1'!#REF!</f>
        <v>#REF!</v>
      </c>
      <c r="B218" s="91" t="e">
        <f>IF('Tab1'!#REF!&lt;&gt;"",'Tab1'!#REF!,"")</f>
        <v>#REF!</v>
      </c>
      <c r="C218" s="91" t="e">
        <f>'Tab1'!#REF!</f>
        <v>#REF!</v>
      </c>
      <c r="D218" s="91" t="e">
        <f>'Tab1'!#REF!</f>
        <v>#REF!</v>
      </c>
      <c r="E218" s="91" t="e">
        <f>IF('Tab1'!#REF!&lt;0,"",'Tab1'!#REF!)</f>
        <v>#REF!</v>
      </c>
      <c r="F218" s="6" t="e">
        <f>'Tab1'!#REF!</f>
        <v>#REF!</v>
      </c>
      <c r="G218" s="91" t="e">
        <f>1/'Tab1'!#REF!</f>
        <v>#REF!</v>
      </c>
      <c r="H218" s="91" t="e">
        <f>IF(G218="","",'Tab1'!#REF!)</f>
        <v>#REF!</v>
      </c>
      <c r="I218" s="91" t="e">
        <f>IF(H218="","",'Tab1'!#REF!)</f>
        <v>#REF!</v>
      </c>
      <c r="J218" s="91" t="e">
        <f>IF(I218="","",'Tab1'!#REF!)</f>
        <v>#REF!</v>
      </c>
      <c r="K218" s="91" t="e">
        <f>IF(J218="","",'Tab1'!#REF!)</f>
        <v>#REF!</v>
      </c>
      <c r="L218" s="55"/>
      <c r="M218" s="55"/>
      <c r="N218" s="55"/>
      <c r="O218" s="7"/>
      <c r="P218" s="7"/>
      <c r="Q218" s="7"/>
      <c r="R218" s="7"/>
      <c r="S218" s="7"/>
      <c r="T218" s="7"/>
      <c r="U218" s="7"/>
      <c r="V218" s="5"/>
      <c r="W218" s="98"/>
      <c r="X218" s="98"/>
      <c r="Y218" s="98"/>
      <c r="Z218" s="98"/>
    </row>
    <row r="219" spans="1:26" ht="14.25" customHeight="1" x14ac:dyDescent="0.15">
      <c r="A219" s="344" t="e">
        <f>'Tab1'!#REF!</f>
        <v>#REF!</v>
      </c>
      <c r="B219" s="91" t="e">
        <f>IF('Tab1'!#REF!&lt;&gt;"",'Tab1'!#REF!,"")</f>
        <v>#REF!</v>
      </c>
      <c r="C219" s="91" t="e">
        <f>'Tab1'!#REF!</f>
        <v>#REF!</v>
      </c>
      <c r="D219" s="91" t="e">
        <f>'Tab1'!#REF!</f>
        <v>#REF!</v>
      </c>
      <c r="E219" s="91" t="e">
        <f>IF('Tab1'!#REF!&lt;0,"",'Tab1'!#REF!)</f>
        <v>#REF!</v>
      </c>
      <c r="F219" s="6" t="e">
        <f>'Tab1'!#REF!</f>
        <v>#REF!</v>
      </c>
      <c r="G219" s="91" t="e">
        <f>1/'Tab1'!#REF!</f>
        <v>#REF!</v>
      </c>
      <c r="H219" s="91" t="e">
        <f>IF(G219="","",'Tab1'!#REF!)</f>
        <v>#REF!</v>
      </c>
      <c r="I219" s="91" t="e">
        <f>IF(H219="","",'Tab1'!#REF!)</f>
        <v>#REF!</v>
      </c>
      <c r="J219" s="91" t="e">
        <f>IF(I219="","",'Tab1'!#REF!)</f>
        <v>#REF!</v>
      </c>
      <c r="K219" s="91" t="e">
        <f>IF(J219="","",'Tab1'!#REF!)</f>
        <v>#REF!</v>
      </c>
      <c r="L219" s="55"/>
      <c r="M219" s="55"/>
      <c r="N219" s="55"/>
      <c r="O219" s="7"/>
      <c r="P219" s="7"/>
      <c r="Q219" s="7"/>
      <c r="R219" s="7"/>
      <c r="S219" s="7"/>
      <c r="T219" s="7"/>
      <c r="U219" s="7"/>
      <c r="V219" s="5"/>
      <c r="W219" s="98"/>
      <c r="X219" s="98"/>
      <c r="Y219" s="98"/>
      <c r="Z219" s="98"/>
    </row>
    <row r="220" spans="1:26" ht="14.25" customHeight="1" x14ac:dyDescent="0.15">
      <c r="A220" s="344" t="e">
        <f>'Tab1'!#REF!</f>
        <v>#REF!</v>
      </c>
      <c r="B220" s="91" t="e">
        <f>IF('Tab1'!#REF!&lt;&gt;"",'Tab1'!#REF!,"")</f>
        <v>#REF!</v>
      </c>
      <c r="C220" s="91" t="e">
        <f>'Tab1'!#REF!</f>
        <v>#REF!</v>
      </c>
      <c r="D220" s="91" t="e">
        <f>'Tab1'!#REF!</f>
        <v>#REF!</v>
      </c>
      <c r="E220" s="91" t="e">
        <f>IF('Tab1'!#REF!&lt;0,"",'Tab1'!#REF!)</f>
        <v>#REF!</v>
      </c>
      <c r="F220" s="6" t="e">
        <f>'Tab1'!#REF!</f>
        <v>#REF!</v>
      </c>
      <c r="G220" s="91" t="e">
        <f>1/'Tab1'!#REF!</f>
        <v>#REF!</v>
      </c>
      <c r="H220" s="91" t="e">
        <f>IF(G220="","",'Tab1'!#REF!)</f>
        <v>#REF!</v>
      </c>
      <c r="I220" s="91" t="e">
        <f>IF(H220="","",'Tab1'!#REF!)</f>
        <v>#REF!</v>
      </c>
      <c r="J220" s="91" t="e">
        <f>IF(I220="","",'Tab1'!#REF!)</f>
        <v>#REF!</v>
      </c>
      <c r="K220" s="91" t="e">
        <f>IF(J220="","",'Tab1'!#REF!)</f>
        <v>#REF!</v>
      </c>
      <c r="L220" s="55"/>
      <c r="M220" s="55"/>
      <c r="N220" s="55"/>
      <c r="O220" s="7"/>
      <c r="P220" s="7"/>
      <c r="Q220" s="7"/>
      <c r="R220" s="7"/>
      <c r="S220" s="7"/>
      <c r="T220" s="7"/>
      <c r="U220" s="7"/>
      <c r="V220" s="5"/>
      <c r="W220" s="98"/>
      <c r="X220" s="98"/>
      <c r="Y220" s="98"/>
      <c r="Z220" s="98"/>
    </row>
    <row r="221" spans="1:26" ht="14.25" customHeight="1" x14ac:dyDescent="0.15">
      <c r="A221" s="344" t="e">
        <f>'Tab1'!#REF!</f>
        <v>#REF!</v>
      </c>
      <c r="B221" s="91" t="e">
        <f>IF('Tab1'!#REF!&lt;&gt;"",'Tab1'!#REF!,"")</f>
        <v>#REF!</v>
      </c>
      <c r="C221" s="91" t="e">
        <f>'Tab1'!#REF!</f>
        <v>#REF!</v>
      </c>
      <c r="D221" s="91" t="e">
        <f>'Tab1'!#REF!</f>
        <v>#REF!</v>
      </c>
      <c r="E221" s="91" t="e">
        <f>IF('Tab1'!#REF!&lt;0,"",'Tab1'!#REF!)</f>
        <v>#REF!</v>
      </c>
      <c r="F221" s="6" t="e">
        <f>'Tab1'!#REF!</f>
        <v>#REF!</v>
      </c>
      <c r="G221" s="91" t="e">
        <f>1/'Tab1'!#REF!</f>
        <v>#REF!</v>
      </c>
      <c r="H221" s="91" t="e">
        <f>IF(G221="","",'Tab1'!#REF!)</f>
        <v>#REF!</v>
      </c>
      <c r="I221" s="91" t="e">
        <f>IF(H221="","",'Tab1'!#REF!)</f>
        <v>#REF!</v>
      </c>
      <c r="J221" s="91" t="e">
        <f>IF(I221="","",'Tab1'!#REF!)</f>
        <v>#REF!</v>
      </c>
      <c r="K221" s="91" t="e">
        <f>IF(J221="","",'Tab1'!#REF!)</f>
        <v>#REF!</v>
      </c>
      <c r="L221" s="55"/>
      <c r="M221" s="55"/>
      <c r="N221" s="55"/>
      <c r="O221" s="7"/>
      <c r="P221" s="7"/>
      <c r="Q221" s="7"/>
      <c r="R221" s="7"/>
      <c r="S221" s="7"/>
      <c r="T221" s="7"/>
      <c r="U221" s="7"/>
      <c r="V221" s="5"/>
      <c r="W221" s="98"/>
      <c r="X221" s="98"/>
      <c r="Y221" s="98"/>
      <c r="Z221" s="98"/>
    </row>
    <row r="222" spans="1:26" ht="14.25" customHeight="1" x14ac:dyDescent="0.15">
      <c r="A222" s="344" t="e">
        <f>'Tab1'!#REF!</f>
        <v>#REF!</v>
      </c>
      <c r="B222" s="91" t="e">
        <f>IF('Tab1'!#REF!&lt;&gt;"",'Tab1'!#REF!,"")</f>
        <v>#REF!</v>
      </c>
      <c r="C222" s="91" t="e">
        <f>'Tab1'!#REF!</f>
        <v>#REF!</v>
      </c>
      <c r="D222" s="91" t="e">
        <f>'Tab1'!#REF!</f>
        <v>#REF!</v>
      </c>
      <c r="E222" s="91" t="e">
        <f>IF('Tab1'!#REF!&lt;0,"",'Tab1'!#REF!)</f>
        <v>#REF!</v>
      </c>
      <c r="F222" s="6" t="e">
        <f>'Tab1'!#REF!</f>
        <v>#REF!</v>
      </c>
      <c r="G222" s="91" t="e">
        <f>1/'Tab1'!#REF!</f>
        <v>#REF!</v>
      </c>
      <c r="H222" s="91" t="e">
        <f>IF(G222="","",'Tab1'!#REF!)</f>
        <v>#REF!</v>
      </c>
      <c r="I222" s="91" t="e">
        <f>IF(H222="","",'Tab1'!#REF!)</f>
        <v>#REF!</v>
      </c>
      <c r="J222" s="91" t="e">
        <f>IF(I222="","",'Tab1'!#REF!)</f>
        <v>#REF!</v>
      </c>
      <c r="K222" s="91" t="e">
        <f>IF(J222="","",'Tab1'!#REF!)</f>
        <v>#REF!</v>
      </c>
      <c r="L222" s="55"/>
      <c r="M222" s="55"/>
      <c r="N222" s="55"/>
      <c r="O222" s="7"/>
      <c r="P222" s="7"/>
      <c r="Q222" s="7"/>
      <c r="R222" s="7"/>
      <c r="S222" s="7"/>
      <c r="T222" s="7"/>
      <c r="U222" s="7"/>
      <c r="V222" s="5"/>
      <c r="W222" s="98"/>
      <c r="X222" s="98"/>
      <c r="Y222" s="98"/>
      <c r="Z222" s="98"/>
    </row>
    <row r="223" spans="1:26" ht="14.25" customHeight="1" x14ac:dyDescent="0.15">
      <c r="A223" s="344" t="e">
        <f>'Tab1'!#REF!</f>
        <v>#REF!</v>
      </c>
      <c r="B223" s="91" t="e">
        <f>IF('Tab1'!#REF!&lt;&gt;"",'Tab1'!#REF!,"")</f>
        <v>#REF!</v>
      </c>
      <c r="C223" s="91" t="e">
        <f>'Tab1'!#REF!</f>
        <v>#REF!</v>
      </c>
      <c r="D223" s="91" t="e">
        <f>'Tab1'!#REF!</f>
        <v>#REF!</v>
      </c>
      <c r="E223" s="91" t="e">
        <f>IF('Tab1'!#REF!&lt;0,"",'Tab1'!#REF!)</f>
        <v>#REF!</v>
      </c>
      <c r="F223" s="6" t="e">
        <f>'Tab1'!#REF!</f>
        <v>#REF!</v>
      </c>
      <c r="G223" s="91" t="e">
        <f>1/'Tab1'!#REF!</f>
        <v>#REF!</v>
      </c>
      <c r="H223" s="91" t="e">
        <f>IF(G223="","",'Tab1'!#REF!)</f>
        <v>#REF!</v>
      </c>
      <c r="I223" s="91" t="e">
        <f>IF(H223="","",'Tab1'!#REF!)</f>
        <v>#REF!</v>
      </c>
      <c r="J223" s="91" t="e">
        <f>IF(I223="","",'Tab1'!#REF!)</f>
        <v>#REF!</v>
      </c>
      <c r="K223" s="91" t="e">
        <f>IF(J223="","",'Tab1'!#REF!)</f>
        <v>#REF!</v>
      </c>
      <c r="L223" s="55"/>
      <c r="M223" s="55"/>
      <c r="N223" s="55"/>
      <c r="O223" s="7"/>
      <c r="P223" s="7"/>
      <c r="Q223" s="7"/>
      <c r="R223" s="7"/>
      <c r="S223" s="7"/>
      <c r="T223" s="7"/>
      <c r="U223" s="7"/>
      <c r="V223" s="5"/>
      <c r="W223" s="98"/>
      <c r="X223" s="98"/>
      <c r="Y223" s="98"/>
      <c r="Z223" s="98"/>
    </row>
    <row r="224" spans="1:26" ht="14.25" customHeight="1" x14ac:dyDescent="0.15">
      <c r="A224" s="344" t="e">
        <f>'Tab1'!#REF!</f>
        <v>#REF!</v>
      </c>
      <c r="B224" s="91" t="e">
        <f>IF('Tab1'!#REF!&lt;&gt;"",'Tab1'!#REF!,"")</f>
        <v>#REF!</v>
      </c>
      <c r="C224" s="91" t="e">
        <f>'Tab1'!#REF!</f>
        <v>#REF!</v>
      </c>
      <c r="D224" s="91" t="e">
        <f>'Tab1'!#REF!</f>
        <v>#REF!</v>
      </c>
      <c r="E224" s="91" t="e">
        <f>IF('Tab1'!#REF!&lt;0,"",'Tab1'!#REF!)</f>
        <v>#REF!</v>
      </c>
      <c r="F224" s="6" t="e">
        <f>'Tab1'!#REF!</f>
        <v>#REF!</v>
      </c>
      <c r="G224" s="91" t="e">
        <f>1/'Tab1'!#REF!</f>
        <v>#REF!</v>
      </c>
      <c r="H224" s="91" t="e">
        <f>IF(G224="","",'Tab1'!#REF!)</f>
        <v>#REF!</v>
      </c>
      <c r="I224" s="91" t="e">
        <f>IF(H224="","",'Tab1'!#REF!)</f>
        <v>#REF!</v>
      </c>
      <c r="J224" s="91" t="e">
        <f>IF(I224="","",'Tab1'!#REF!)</f>
        <v>#REF!</v>
      </c>
      <c r="K224" s="91" t="e">
        <f>IF(J224="","",'Tab1'!#REF!)</f>
        <v>#REF!</v>
      </c>
      <c r="L224" s="55"/>
      <c r="M224" s="55"/>
      <c r="N224" s="55"/>
      <c r="O224" s="7"/>
      <c r="P224" s="7"/>
      <c r="Q224" s="7"/>
      <c r="R224" s="7"/>
      <c r="S224" s="7"/>
      <c r="T224" s="7"/>
      <c r="U224" s="7"/>
      <c r="V224" s="5"/>
      <c r="W224" s="98"/>
      <c r="X224" s="98"/>
      <c r="Y224" s="98"/>
      <c r="Z224" s="98"/>
    </row>
    <row r="225" spans="1:26" ht="14.25" customHeight="1" x14ac:dyDescent="0.15">
      <c r="A225" s="344" t="e">
        <f>'Tab1'!#REF!</f>
        <v>#REF!</v>
      </c>
      <c r="B225" s="91" t="e">
        <f>IF('Tab1'!#REF!&lt;&gt;"",'Tab1'!#REF!,"")</f>
        <v>#REF!</v>
      </c>
      <c r="C225" s="91" t="e">
        <f>'Tab1'!#REF!</f>
        <v>#REF!</v>
      </c>
      <c r="D225" s="91" t="e">
        <f>'Tab1'!#REF!</f>
        <v>#REF!</v>
      </c>
      <c r="E225" s="91" t="e">
        <f>IF('Tab1'!#REF!&lt;0,"",'Tab1'!#REF!)</f>
        <v>#REF!</v>
      </c>
      <c r="F225" s="6" t="e">
        <f>'Tab1'!#REF!</f>
        <v>#REF!</v>
      </c>
      <c r="G225" s="91" t="e">
        <f>1/'Tab1'!#REF!</f>
        <v>#REF!</v>
      </c>
      <c r="H225" s="91" t="e">
        <f>IF(G225="","",'Tab1'!#REF!)</f>
        <v>#REF!</v>
      </c>
      <c r="I225" s="91" t="e">
        <f>IF(H225="","",'Tab1'!#REF!)</f>
        <v>#REF!</v>
      </c>
      <c r="J225" s="91" t="e">
        <f>IF(I225="","",'Tab1'!#REF!)</f>
        <v>#REF!</v>
      </c>
      <c r="K225" s="91" t="e">
        <f>IF(J225="","",'Tab1'!#REF!)</f>
        <v>#REF!</v>
      </c>
      <c r="L225" s="55"/>
      <c r="M225" s="55"/>
      <c r="N225" s="55"/>
      <c r="O225" s="7"/>
      <c r="P225" s="7"/>
      <c r="Q225" s="7"/>
      <c r="R225" s="7"/>
      <c r="S225" s="7"/>
      <c r="T225" s="7"/>
      <c r="U225" s="7"/>
      <c r="V225" s="5"/>
      <c r="W225" s="98"/>
      <c r="X225" s="98"/>
      <c r="Y225" s="98"/>
      <c r="Z225" s="98"/>
    </row>
    <row r="226" spans="1:26" ht="14.25" customHeight="1" x14ac:dyDescent="0.15">
      <c r="A226" s="344" t="e">
        <f>'Tab1'!#REF!</f>
        <v>#REF!</v>
      </c>
      <c r="B226" s="91" t="e">
        <f>IF('Tab1'!#REF!&lt;&gt;"",'Tab1'!#REF!,"")</f>
        <v>#REF!</v>
      </c>
      <c r="C226" s="91" t="e">
        <f>'Tab1'!#REF!</f>
        <v>#REF!</v>
      </c>
      <c r="D226" s="91" t="e">
        <f>'Tab1'!#REF!</f>
        <v>#REF!</v>
      </c>
      <c r="E226" s="91" t="e">
        <f>IF('Tab1'!#REF!&lt;0,"",'Tab1'!#REF!)</f>
        <v>#REF!</v>
      </c>
      <c r="F226" s="6" t="e">
        <f>'Tab1'!#REF!</f>
        <v>#REF!</v>
      </c>
      <c r="G226" s="91" t="e">
        <f>1/'Tab1'!#REF!</f>
        <v>#REF!</v>
      </c>
      <c r="H226" s="91" t="e">
        <f>IF(G226="","",'Tab1'!#REF!)</f>
        <v>#REF!</v>
      </c>
      <c r="I226" s="91" t="e">
        <f>IF(H226="","",'Tab1'!#REF!)</f>
        <v>#REF!</v>
      </c>
      <c r="J226" s="91" t="e">
        <f>IF(I226="","",'Tab1'!#REF!)</f>
        <v>#REF!</v>
      </c>
      <c r="K226" s="91" t="e">
        <f>IF(J226="","",'Tab1'!#REF!)</f>
        <v>#REF!</v>
      </c>
      <c r="L226" s="55"/>
      <c r="M226" s="55"/>
      <c r="N226" s="55"/>
      <c r="O226" s="7"/>
      <c r="P226" s="7"/>
      <c r="Q226" s="7"/>
      <c r="R226" s="7"/>
      <c r="S226" s="7"/>
      <c r="T226" s="7"/>
      <c r="U226" s="7"/>
      <c r="V226" s="5"/>
      <c r="W226" s="98"/>
      <c r="X226" s="98"/>
      <c r="Y226" s="98"/>
      <c r="Z226" s="98"/>
    </row>
    <row r="227" spans="1:26" ht="14.25" customHeight="1" x14ac:dyDescent="0.15">
      <c r="A227" s="344" t="e">
        <f>'Tab1'!#REF!</f>
        <v>#REF!</v>
      </c>
      <c r="B227" s="91" t="e">
        <f>IF('Tab1'!#REF!&lt;&gt;"",'Tab1'!#REF!,"")</f>
        <v>#REF!</v>
      </c>
      <c r="C227" s="91" t="e">
        <f>'Tab1'!#REF!</f>
        <v>#REF!</v>
      </c>
      <c r="D227" s="91" t="e">
        <f>'Tab1'!#REF!</f>
        <v>#REF!</v>
      </c>
      <c r="E227" s="91" t="e">
        <f>IF('Tab1'!#REF!&lt;0,"",'Tab1'!#REF!)</f>
        <v>#REF!</v>
      </c>
      <c r="F227" s="6" t="e">
        <f>'Tab1'!#REF!</f>
        <v>#REF!</v>
      </c>
      <c r="G227" s="91" t="e">
        <f>1/'Tab1'!#REF!</f>
        <v>#REF!</v>
      </c>
      <c r="H227" s="91" t="e">
        <f>IF(G227="","",'Tab1'!#REF!)</f>
        <v>#REF!</v>
      </c>
      <c r="I227" s="91" t="e">
        <f>IF(H227="","",'Tab1'!#REF!)</f>
        <v>#REF!</v>
      </c>
      <c r="J227" s="91" t="e">
        <f>IF(I227="","",'Tab1'!#REF!)</f>
        <v>#REF!</v>
      </c>
      <c r="K227" s="91" t="e">
        <f>IF(J227="","",'Tab1'!#REF!)</f>
        <v>#REF!</v>
      </c>
      <c r="L227" s="55"/>
      <c r="M227" s="55"/>
      <c r="N227" s="55"/>
      <c r="O227" s="7"/>
      <c r="P227" s="7"/>
      <c r="Q227" s="7"/>
      <c r="R227" s="7"/>
      <c r="S227" s="7"/>
      <c r="T227" s="7"/>
      <c r="U227" s="7"/>
      <c r="V227" s="5"/>
      <c r="W227" s="98"/>
      <c r="X227" s="98"/>
      <c r="Y227" s="98"/>
      <c r="Z227" s="98"/>
    </row>
    <row r="228" spans="1:26" ht="14.25" customHeight="1" x14ac:dyDescent="0.15">
      <c r="A228" s="344" t="e">
        <f>'Tab1'!#REF!</f>
        <v>#REF!</v>
      </c>
      <c r="B228" s="91" t="e">
        <f>IF('Tab1'!#REF!&lt;&gt;"",'Tab1'!#REF!,"")</f>
        <v>#REF!</v>
      </c>
      <c r="C228" s="91" t="e">
        <f>'Tab1'!#REF!</f>
        <v>#REF!</v>
      </c>
      <c r="D228" s="91" t="e">
        <f>'Tab1'!#REF!</f>
        <v>#REF!</v>
      </c>
      <c r="E228" s="91" t="e">
        <f>IF('Tab1'!#REF!&lt;0,"",'Tab1'!#REF!)</f>
        <v>#REF!</v>
      </c>
      <c r="F228" s="6" t="e">
        <f>'Tab1'!#REF!</f>
        <v>#REF!</v>
      </c>
      <c r="G228" s="91" t="e">
        <f>1/'Tab1'!#REF!</f>
        <v>#REF!</v>
      </c>
      <c r="H228" s="91" t="e">
        <f>IF(G228="","",'Tab1'!#REF!)</f>
        <v>#REF!</v>
      </c>
      <c r="I228" s="91" t="e">
        <f>IF(H228="","",'Tab1'!#REF!)</f>
        <v>#REF!</v>
      </c>
      <c r="J228" s="91" t="e">
        <f>IF(I228="","",'Tab1'!#REF!)</f>
        <v>#REF!</v>
      </c>
      <c r="K228" s="91" t="e">
        <f>IF(J228="","",'Tab1'!#REF!)</f>
        <v>#REF!</v>
      </c>
      <c r="L228" s="55"/>
      <c r="M228" s="55"/>
      <c r="N228" s="55"/>
      <c r="O228" s="7"/>
      <c r="P228" s="7"/>
      <c r="Q228" s="7"/>
      <c r="R228" s="7"/>
      <c r="S228" s="7"/>
      <c r="T228" s="7"/>
      <c r="U228" s="7"/>
      <c r="V228" s="5"/>
      <c r="W228" s="98"/>
      <c r="X228" s="98"/>
      <c r="Y228" s="98"/>
      <c r="Z228" s="98"/>
    </row>
    <row r="229" spans="1:26" ht="14.25" customHeight="1" x14ac:dyDescent="0.15">
      <c r="A229" s="344" t="e">
        <f>'Tab1'!#REF!</f>
        <v>#REF!</v>
      </c>
      <c r="B229" s="91" t="e">
        <f>IF('Tab1'!#REF!&lt;&gt;"",'Tab1'!#REF!,"")</f>
        <v>#REF!</v>
      </c>
      <c r="C229" s="91" t="e">
        <f>'Tab1'!#REF!</f>
        <v>#REF!</v>
      </c>
      <c r="D229" s="91" t="e">
        <f>'Tab1'!#REF!</f>
        <v>#REF!</v>
      </c>
      <c r="E229" s="91" t="e">
        <f>IF('Tab1'!#REF!&lt;0,"",'Tab1'!#REF!)</f>
        <v>#REF!</v>
      </c>
      <c r="F229" s="6" t="e">
        <f>'Tab1'!#REF!</f>
        <v>#REF!</v>
      </c>
      <c r="G229" s="91" t="e">
        <f>1/'Tab1'!#REF!</f>
        <v>#REF!</v>
      </c>
      <c r="H229" s="91" t="e">
        <f>IF(G229="","",'Tab1'!#REF!)</f>
        <v>#REF!</v>
      </c>
      <c r="I229" s="91" t="e">
        <f>IF(H229="","",'Tab1'!#REF!)</f>
        <v>#REF!</v>
      </c>
      <c r="J229" s="91" t="e">
        <f>IF(I229="","",'Tab1'!#REF!)</f>
        <v>#REF!</v>
      </c>
      <c r="K229" s="91" t="e">
        <f>IF(J229="","",'Tab1'!#REF!)</f>
        <v>#REF!</v>
      </c>
      <c r="L229" s="55"/>
      <c r="M229" s="55"/>
      <c r="N229" s="55"/>
      <c r="O229" s="7"/>
      <c r="P229" s="7"/>
      <c r="Q229" s="7"/>
      <c r="R229" s="7"/>
      <c r="S229" s="7"/>
      <c r="T229" s="7"/>
      <c r="U229" s="7"/>
      <c r="V229" s="5"/>
      <c r="W229" s="98"/>
      <c r="X229" s="98"/>
      <c r="Y229" s="98"/>
      <c r="Z229" s="98"/>
    </row>
    <row r="230" spans="1:26" ht="14.25" customHeight="1" x14ac:dyDescent="0.15">
      <c r="A230" s="344" t="e">
        <f>'Tab1'!#REF!</f>
        <v>#REF!</v>
      </c>
      <c r="B230" s="91" t="e">
        <f>IF('Tab1'!#REF!&lt;&gt;"",'Tab1'!#REF!,"")</f>
        <v>#REF!</v>
      </c>
      <c r="C230" s="91" t="e">
        <f>'Tab1'!#REF!</f>
        <v>#REF!</v>
      </c>
      <c r="D230" s="91" t="e">
        <f>'Tab1'!#REF!</f>
        <v>#REF!</v>
      </c>
      <c r="E230" s="91" t="e">
        <f>IF('Tab1'!#REF!&lt;0,"",'Tab1'!#REF!)</f>
        <v>#REF!</v>
      </c>
      <c r="F230" s="6" t="e">
        <f>'Tab1'!#REF!</f>
        <v>#REF!</v>
      </c>
      <c r="G230" s="91" t="e">
        <f>1/'Tab1'!#REF!</f>
        <v>#REF!</v>
      </c>
      <c r="H230" s="91" t="e">
        <f>IF(G230="","",'Tab1'!#REF!)</f>
        <v>#REF!</v>
      </c>
      <c r="I230" s="91" t="e">
        <f>IF(H230="","",'Tab1'!#REF!)</f>
        <v>#REF!</v>
      </c>
      <c r="J230" s="91" t="e">
        <f>IF(I230="","",'Tab1'!#REF!)</f>
        <v>#REF!</v>
      </c>
      <c r="K230" s="91" t="e">
        <f>IF(J230="","",'Tab1'!#REF!)</f>
        <v>#REF!</v>
      </c>
      <c r="L230" s="55"/>
      <c r="M230" s="55"/>
      <c r="N230" s="55"/>
      <c r="O230" s="7"/>
      <c r="P230" s="7"/>
      <c r="Q230" s="7"/>
      <c r="R230" s="7"/>
      <c r="S230" s="7"/>
      <c r="T230" s="7"/>
      <c r="U230" s="7"/>
      <c r="V230" s="5"/>
      <c r="W230" s="98"/>
      <c r="X230" s="98"/>
      <c r="Y230" s="98"/>
      <c r="Z230" s="98"/>
    </row>
    <row r="231" spans="1:26" ht="14.25" customHeight="1" x14ac:dyDescent="0.15">
      <c r="A231" s="344" t="e">
        <f>'Tab1'!#REF!</f>
        <v>#REF!</v>
      </c>
      <c r="B231" s="91" t="e">
        <f>IF('Tab1'!#REF!&lt;&gt;"",'Tab1'!#REF!,"")</f>
        <v>#REF!</v>
      </c>
      <c r="C231" s="91" t="e">
        <f>'Tab1'!#REF!</f>
        <v>#REF!</v>
      </c>
      <c r="D231" s="91" t="e">
        <f>'Tab1'!#REF!</f>
        <v>#REF!</v>
      </c>
      <c r="E231" s="91" t="e">
        <f>IF('Tab1'!#REF!&lt;0,"",'Tab1'!#REF!)</f>
        <v>#REF!</v>
      </c>
      <c r="F231" s="6" t="e">
        <f>'Tab1'!#REF!</f>
        <v>#REF!</v>
      </c>
      <c r="G231" s="91" t="e">
        <f>1/'Tab1'!#REF!</f>
        <v>#REF!</v>
      </c>
      <c r="H231" s="91" t="e">
        <f>IF(G231="","",'Tab1'!#REF!)</f>
        <v>#REF!</v>
      </c>
      <c r="I231" s="91" t="e">
        <f>IF(H231="","",'Tab1'!#REF!)</f>
        <v>#REF!</v>
      </c>
      <c r="J231" s="91" t="e">
        <f>IF(I231="","",'Tab1'!#REF!)</f>
        <v>#REF!</v>
      </c>
      <c r="K231" s="91" t="e">
        <f>IF(J231="","",'Tab1'!#REF!)</f>
        <v>#REF!</v>
      </c>
      <c r="L231" s="55"/>
      <c r="M231" s="55"/>
      <c r="N231" s="55"/>
      <c r="O231" s="7"/>
      <c r="P231" s="7"/>
      <c r="Q231" s="7"/>
      <c r="R231" s="7"/>
      <c r="S231" s="7"/>
      <c r="T231" s="7"/>
      <c r="U231" s="7"/>
      <c r="V231" s="5"/>
      <c r="W231" s="98"/>
      <c r="X231" s="98"/>
      <c r="Y231" s="98"/>
      <c r="Z231" s="98"/>
    </row>
    <row r="232" spans="1:26" ht="14.25" customHeight="1" x14ac:dyDescent="0.15">
      <c r="A232" s="344" t="e">
        <f>'Tab1'!#REF!</f>
        <v>#REF!</v>
      </c>
      <c r="B232" s="91" t="e">
        <f>IF('Tab1'!#REF!&lt;&gt;"",'Tab1'!#REF!,"")</f>
        <v>#REF!</v>
      </c>
      <c r="C232" s="91" t="e">
        <f>'Tab1'!#REF!</f>
        <v>#REF!</v>
      </c>
      <c r="D232" s="91" t="e">
        <f>'Tab1'!#REF!</f>
        <v>#REF!</v>
      </c>
      <c r="E232" s="91" t="e">
        <f>IF('Tab1'!#REF!&lt;0,"",'Tab1'!#REF!)</f>
        <v>#REF!</v>
      </c>
      <c r="F232" s="6" t="e">
        <f>'Tab1'!#REF!</f>
        <v>#REF!</v>
      </c>
      <c r="G232" s="91" t="e">
        <f>1/'Tab1'!#REF!</f>
        <v>#REF!</v>
      </c>
      <c r="H232" s="91" t="e">
        <f>IF(G232="","",'Tab1'!#REF!)</f>
        <v>#REF!</v>
      </c>
      <c r="I232" s="91" t="e">
        <f>IF(H232="","",'Tab1'!#REF!)</f>
        <v>#REF!</v>
      </c>
      <c r="J232" s="91" t="e">
        <f>IF(I232="","",'Tab1'!#REF!)</f>
        <v>#REF!</v>
      </c>
      <c r="K232" s="91" t="e">
        <f>IF(J232="","",'Tab1'!#REF!)</f>
        <v>#REF!</v>
      </c>
      <c r="L232" s="55"/>
      <c r="M232" s="55"/>
      <c r="N232" s="55"/>
      <c r="O232" s="7"/>
      <c r="P232" s="7"/>
      <c r="Q232" s="7"/>
      <c r="R232" s="7"/>
      <c r="S232" s="7"/>
      <c r="T232" s="7"/>
      <c r="U232" s="7"/>
      <c r="V232" s="5"/>
      <c r="W232" s="98"/>
      <c r="X232" s="98"/>
      <c r="Y232" s="98"/>
      <c r="Z232" s="98"/>
    </row>
    <row r="233" spans="1:26" ht="14.25" customHeight="1" x14ac:dyDescent="0.15">
      <c r="A233" s="344" t="e">
        <f>'Tab1'!#REF!</f>
        <v>#REF!</v>
      </c>
      <c r="B233" s="91" t="e">
        <f>IF('Tab1'!#REF!&lt;&gt;"",'Tab1'!#REF!,"")</f>
        <v>#REF!</v>
      </c>
      <c r="C233" s="91" t="e">
        <f>'Tab1'!#REF!</f>
        <v>#REF!</v>
      </c>
      <c r="D233" s="91" t="e">
        <f>'Tab1'!#REF!</f>
        <v>#REF!</v>
      </c>
      <c r="E233" s="91" t="e">
        <f>IF('Tab1'!#REF!&lt;0,"",'Tab1'!#REF!)</f>
        <v>#REF!</v>
      </c>
      <c r="F233" s="6" t="e">
        <f>'Tab1'!#REF!</f>
        <v>#REF!</v>
      </c>
      <c r="G233" s="91" t="e">
        <f>1/'Tab1'!#REF!</f>
        <v>#REF!</v>
      </c>
      <c r="H233" s="91" t="e">
        <f>IF(G233="","",'Tab1'!#REF!)</f>
        <v>#REF!</v>
      </c>
      <c r="I233" s="91" t="e">
        <f>IF(H233="","",'Tab1'!#REF!)</f>
        <v>#REF!</v>
      </c>
      <c r="J233" s="91" t="e">
        <f>IF(I233="","",'Tab1'!#REF!)</f>
        <v>#REF!</v>
      </c>
      <c r="K233" s="91" t="e">
        <f>IF(J233="","",'Tab1'!#REF!)</f>
        <v>#REF!</v>
      </c>
      <c r="L233" s="55"/>
      <c r="M233" s="55"/>
      <c r="N233" s="55"/>
      <c r="O233" s="7"/>
      <c r="P233" s="7"/>
      <c r="Q233" s="7"/>
      <c r="R233" s="7"/>
      <c r="S233" s="7"/>
      <c r="T233" s="7"/>
      <c r="U233" s="7"/>
      <c r="V233" s="5"/>
      <c r="W233" s="98"/>
      <c r="X233" s="98"/>
      <c r="Y233" s="98"/>
      <c r="Z233" s="98"/>
    </row>
    <row r="234" spans="1:26" ht="14.25" customHeight="1" x14ac:dyDescent="0.15">
      <c r="A234" s="344" t="e">
        <f>'Tab1'!#REF!</f>
        <v>#REF!</v>
      </c>
      <c r="B234" s="91" t="e">
        <f>IF('Tab1'!#REF!&lt;&gt;"",'Tab1'!#REF!,"")</f>
        <v>#REF!</v>
      </c>
      <c r="C234" s="91" t="e">
        <f>'Tab1'!#REF!</f>
        <v>#REF!</v>
      </c>
      <c r="D234" s="91" t="e">
        <f>'Tab1'!#REF!</f>
        <v>#REF!</v>
      </c>
      <c r="E234" s="91" t="e">
        <f>IF('Tab1'!#REF!&lt;0,"",'Tab1'!#REF!)</f>
        <v>#REF!</v>
      </c>
      <c r="F234" s="6" t="e">
        <f>'Tab1'!#REF!</f>
        <v>#REF!</v>
      </c>
      <c r="G234" s="91" t="e">
        <f>1/'Tab1'!#REF!</f>
        <v>#REF!</v>
      </c>
      <c r="H234" s="91" t="e">
        <f>IF(G234="","",'Tab1'!#REF!)</f>
        <v>#REF!</v>
      </c>
      <c r="I234" s="91" t="e">
        <f>IF(H234="","",'Tab1'!#REF!)</f>
        <v>#REF!</v>
      </c>
      <c r="J234" s="91" t="e">
        <f>IF(I234="","",'Tab1'!#REF!)</f>
        <v>#REF!</v>
      </c>
      <c r="K234" s="91" t="e">
        <f>IF(J234="","",'Tab1'!#REF!)</f>
        <v>#REF!</v>
      </c>
      <c r="L234" s="55"/>
      <c r="M234" s="55"/>
      <c r="N234" s="55"/>
      <c r="O234" s="7"/>
      <c r="P234" s="7"/>
      <c r="Q234" s="7"/>
      <c r="R234" s="7"/>
      <c r="S234" s="7"/>
      <c r="T234" s="7"/>
      <c r="U234" s="7"/>
      <c r="V234" s="5"/>
      <c r="W234" s="98"/>
      <c r="X234" s="98"/>
      <c r="Y234" s="98"/>
      <c r="Z234" s="98"/>
    </row>
    <row r="235" spans="1:26" ht="14.25" customHeight="1" x14ac:dyDescent="0.15">
      <c r="A235" s="344" t="e">
        <f>'Tab1'!#REF!</f>
        <v>#REF!</v>
      </c>
      <c r="B235" s="91" t="e">
        <f>IF('Tab1'!#REF!&lt;&gt;"",'Tab1'!#REF!,"")</f>
        <v>#REF!</v>
      </c>
      <c r="C235" s="91" t="e">
        <f>'Tab1'!#REF!</f>
        <v>#REF!</v>
      </c>
      <c r="D235" s="91" t="e">
        <f>'Tab1'!#REF!</f>
        <v>#REF!</v>
      </c>
      <c r="E235" s="91" t="e">
        <f>IF('Tab1'!#REF!&lt;0,"",'Tab1'!#REF!)</f>
        <v>#REF!</v>
      </c>
      <c r="F235" s="6" t="e">
        <f>'Tab1'!#REF!</f>
        <v>#REF!</v>
      </c>
      <c r="G235" s="91" t="e">
        <f>1/'Tab1'!#REF!</f>
        <v>#REF!</v>
      </c>
      <c r="H235" s="91" t="e">
        <f>IF(G235="","",'Tab1'!#REF!)</f>
        <v>#REF!</v>
      </c>
      <c r="I235" s="91" t="e">
        <f>IF(H235="","",'Tab1'!#REF!)</f>
        <v>#REF!</v>
      </c>
      <c r="J235" s="91" t="e">
        <f>IF(I235="","",'Tab1'!#REF!)</f>
        <v>#REF!</v>
      </c>
      <c r="K235" s="91" t="e">
        <f>IF(J235="","",'Tab1'!#REF!)</f>
        <v>#REF!</v>
      </c>
      <c r="L235" s="55"/>
      <c r="M235" s="55"/>
      <c r="N235" s="55"/>
      <c r="O235" s="7"/>
      <c r="P235" s="7"/>
      <c r="Q235" s="7"/>
      <c r="R235" s="7"/>
      <c r="S235" s="7"/>
      <c r="T235" s="7"/>
      <c r="U235" s="7"/>
      <c r="V235" s="5"/>
      <c r="W235" s="98"/>
      <c r="X235" s="98"/>
      <c r="Y235" s="98"/>
      <c r="Z235" s="98"/>
    </row>
    <row r="236" spans="1:26" ht="14.25" customHeight="1" x14ac:dyDescent="0.15">
      <c r="A236" s="344" t="e">
        <f>'Tab1'!#REF!</f>
        <v>#REF!</v>
      </c>
      <c r="B236" s="91" t="e">
        <f>IF('Tab1'!#REF!&lt;&gt;"",'Tab1'!#REF!,"")</f>
        <v>#REF!</v>
      </c>
      <c r="C236" s="91" t="e">
        <f>'Tab1'!#REF!</f>
        <v>#REF!</v>
      </c>
      <c r="D236" s="91" t="e">
        <f>'Tab1'!#REF!</f>
        <v>#REF!</v>
      </c>
      <c r="E236" s="91" t="e">
        <f>IF('Tab1'!#REF!&lt;0,"",'Tab1'!#REF!)</f>
        <v>#REF!</v>
      </c>
      <c r="F236" s="6" t="e">
        <f>'Tab1'!#REF!</f>
        <v>#REF!</v>
      </c>
      <c r="G236" s="91" t="e">
        <f>1/'Tab1'!#REF!</f>
        <v>#REF!</v>
      </c>
      <c r="H236" s="91" t="e">
        <f>IF(G236="","",'Tab1'!#REF!)</f>
        <v>#REF!</v>
      </c>
      <c r="I236" s="91" t="e">
        <f>IF(H236="","",'Tab1'!#REF!)</f>
        <v>#REF!</v>
      </c>
      <c r="J236" s="91" t="e">
        <f>IF(I236="","",'Tab1'!#REF!)</f>
        <v>#REF!</v>
      </c>
      <c r="K236" s="91" t="e">
        <f>IF(J236="","",'Tab1'!#REF!)</f>
        <v>#REF!</v>
      </c>
      <c r="L236" s="55"/>
      <c r="M236" s="55"/>
      <c r="N236" s="55"/>
      <c r="O236" s="7"/>
      <c r="P236" s="7"/>
      <c r="Q236" s="7"/>
      <c r="R236" s="7"/>
      <c r="S236" s="7"/>
      <c r="T236" s="7"/>
      <c r="U236" s="7"/>
      <c r="V236" s="5"/>
      <c r="W236" s="98"/>
      <c r="X236" s="98"/>
      <c r="Y236" s="98"/>
      <c r="Z236" s="98"/>
    </row>
    <row r="237" spans="1:26" ht="14.25" customHeight="1" x14ac:dyDescent="0.15">
      <c r="A237" s="344" t="e">
        <f>'Tab1'!#REF!</f>
        <v>#REF!</v>
      </c>
      <c r="B237" s="91" t="e">
        <f>IF('Tab1'!#REF!&lt;&gt;"",'Tab1'!#REF!,"")</f>
        <v>#REF!</v>
      </c>
      <c r="C237" s="91" t="e">
        <f>'Tab1'!#REF!</f>
        <v>#REF!</v>
      </c>
      <c r="D237" s="91" t="e">
        <f>'Tab1'!#REF!</f>
        <v>#REF!</v>
      </c>
      <c r="E237" s="91" t="e">
        <f>IF('Tab1'!#REF!&lt;0,"",'Tab1'!#REF!)</f>
        <v>#REF!</v>
      </c>
      <c r="F237" s="6" t="e">
        <f>'Tab1'!#REF!</f>
        <v>#REF!</v>
      </c>
      <c r="G237" s="91" t="e">
        <f>1/'Tab1'!#REF!</f>
        <v>#REF!</v>
      </c>
      <c r="H237" s="91" t="e">
        <f>IF(G237="","",'Tab1'!#REF!)</f>
        <v>#REF!</v>
      </c>
      <c r="I237" s="91" t="e">
        <f>IF(H237="","",'Tab1'!#REF!)</f>
        <v>#REF!</v>
      </c>
      <c r="J237" s="91" t="e">
        <f>IF(I237="","",'Tab1'!#REF!)</f>
        <v>#REF!</v>
      </c>
      <c r="K237" s="91" t="e">
        <f>IF(J237="","",'Tab1'!#REF!)</f>
        <v>#REF!</v>
      </c>
      <c r="L237" s="55"/>
      <c r="M237" s="55"/>
      <c r="N237" s="55"/>
      <c r="O237" s="7"/>
      <c r="P237" s="7"/>
      <c r="Q237" s="7"/>
      <c r="R237" s="7"/>
      <c r="S237" s="7"/>
      <c r="T237" s="7"/>
      <c r="U237" s="7"/>
      <c r="V237" s="5"/>
      <c r="W237" s="98"/>
      <c r="X237" s="98"/>
      <c r="Y237" s="98"/>
      <c r="Z237" s="98"/>
    </row>
    <row r="238" spans="1:26" ht="14.25" customHeight="1" x14ac:dyDescent="0.15">
      <c r="A238" s="344" t="e">
        <f>'Tab1'!#REF!</f>
        <v>#REF!</v>
      </c>
      <c r="B238" s="91" t="e">
        <f>IF('Tab1'!#REF!&lt;&gt;"",'Tab1'!#REF!,"")</f>
        <v>#REF!</v>
      </c>
      <c r="C238" s="91" t="e">
        <f>'Tab1'!#REF!</f>
        <v>#REF!</v>
      </c>
      <c r="D238" s="91" t="e">
        <f>'Tab1'!#REF!</f>
        <v>#REF!</v>
      </c>
      <c r="E238" s="91" t="e">
        <f>IF('Tab1'!#REF!&lt;0,"",'Tab1'!#REF!)</f>
        <v>#REF!</v>
      </c>
      <c r="F238" s="6" t="e">
        <f>'Tab1'!#REF!</f>
        <v>#REF!</v>
      </c>
      <c r="G238" s="91" t="e">
        <f>1/'Tab1'!#REF!</f>
        <v>#REF!</v>
      </c>
      <c r="H238" s="91" t="e">
        <f>IF(G238="","",'Tab1'!#REF!)</f>
        <v>#REF!</v>
      </c>
      <c r="I238" s="91" t="e">
        <f>IF(H238="","",'Tab1'!#REF!)</f>
        <v>#REF!</v>
      </c>
      <c r="J238" s="91" t="e">
        <f>IF(I238="","",'Tab1'!#REF!)</f>
        <v>#REF!</v>
      </c>
      <c r="K238" s="91" t="e">
        <f>IF(J238="","",'Tab1'!#REF!)</f>
        <v>#REF!</v>
      </c>
      <c r="L238" s="55"/>
      <c r="M238" s="55"/>
      <c r="N238" s="55"/>
      <c r="O238" s="7"/>
      <c r="P238" s="7"/>
      <c r="Q238" s="7"/>
      <c r="R238" s="7"/>
      <c r="S238" s="7"/>
      <c r="T238" s="7"/>
      <c r="U238" s="7"/>
      <c r="V238" s="5"/>
      <c r="W238" s="98"/>
      <c r="X238" s="98"/>
      <c r="Y238" s="98"/>
      <c r="Z238" s="98"/>
    </row>
    <row r="239" spans="1:26" ht="14.25" customHeight="1" x14ac:dyDescent="0.15">
      <c r="A239" s="344" t="e">
        <f>'Tab1'!#REF!</f>
        <v>#REF!</v>
      </c>
      <c r="B239" s="91" t="e">
        <f>IF('Tab1'!#REF!&lt;&gt;"",'Tab1'!#REF!,"")</f>
        <v>#REF!</v>
      </c>
      <c r="C239" s="91" t="e">
        <f>'Tab1'!#REF!</f>
        <v>#REF!</v>
      </c>
      <c r="D239" s="91" t="e">
        <f>'Tab1'!#REF!</f>
        <v>#REF!</v>
      </c>
      <c r="E239" s="91" t="e">
        <f>IF('Tab1'!#REF!&lt;0,"",'Tab1'!#REF!)</f>
        <v>#REF!</v>
      </c>
      <c r="F239" s="6" t="e">
        <f>'Tab1'!#REF!</f>
        <v>#REF!</v>
      </c>
      <c r="G239" s="91" t="e">
        <f>1/'Tab1'!#REF!</f>
        <v>#REF!</v>
      </c>
      <c r="H239" s="91" t="e">
        <f>IF(G239="","",'Tab1'!#REF!)</f>
        <v>#REF!</v>
      </c>
      <c r="I239" s="91" t="e">
        <f>IF(H239="","",'Tab1'!#REF!)</f>
        <v>#REF!</v>
      </c>
      <c r="J239" s="91" t="e">
        <f>IF(I239="","",'Tab1'!#REF!)</f>
        <v>#REF!</v>
      </c>
      <c r="K239" s="91" t="e">
        <f>IF(J239="","",'Tab1'!#REF!)</f>
        <v>#REF!</v>
      </c>
      <c r="L239" s="55"/>
      <c r="M239" s="55"/>
      <c r="N239" s="55"/>
      <c r="O239" s="7"/>
      <c r="P239" s="7"/>
      <c r="Q239" s="7"/>
      <c r="R239" s="7"/>
      <c r="S239" s="7"/>
      <c r="T239" s="7"/>
      <c r="U239" s="7"/>
      <c r="V239" s="5"/>
      <c r="W239" s="98"/>
      <c r="X239" s="98"/>
      <c r="Y239" s="98"/>
      <c r="Z239" s="98"/>
    </row>
    <row r="240" spans="1:26" ht="14.25" customHeight="1" x14ac:dyDescent="0.15">
      <c r="A240" s="344" t="e">
        <f>'Tab1'!#REF!</f>
        <v>#REF!</v>
      </c>
      <c r="B240" s="91" t="e">
        <f>IF('Tab1'!#REF!&lt;&gt;"",'Tab1'!#REF!,"")</f>
        <v>#REF!</v>
      </c>
      <c r="C240" s="91" t="e">
        <f>'Tab1'!#REF!</f>
        <v>#REF!</v>
      </c>
      <c r="D240" s="91" t="e">
        <f>'Tab1'!#REF!</f>
        <v>#REF!</v>
      </c>
      <c r="E240" s="91" t="e">
        <f>IF('Tab1'!#REF!&lt;0,"",'Tab1'!#REF!)</f>
        <v>#REF!</v>
      </c>
      <c r="F240" s="6" t="e">
        <f>'Tab1'!#REF!</f>
        <v>#REF!</v>
      </c>
      <c r="G240" s="91" t="e">
        <f>1/'Tab1'!#REF!</f>
        <v>#REF!</v>
      </c>
      <c r="H240" s="91" t="e">
        <f>IF(G240="","",'Tab1'!#REF!)</f>
        <v>#REF!</v>
      </c>
      <c r="I240" s="91" t="e">
        <f>IF(H240="","",'Tab1'!#REF!)</f>
        <v>#REF!</v>
      </c>
      <c r="J240" s="91" t="e">
        <f>IF(I240="","",'Tab1'!#REF!)</f>
        <v>#REF!</v>
      </c>
      <c r="K240" s="91" t="e">
        <f>IF(J240="","",'Tab1'!#REF!)</f>
        <v>#REF!</v>
      </c>
      <c r="L240" s="55"/>
      <c r="M240" s="55"/>
      <c r="N240" s="55"/>
      <c r="O240" s="7"/>
      <c r="P240" s="7"/>
      <c r="Q240" s="7"/>
      <c r="R240" s="7"/>
      <c r="S240" s="7"/>
      <c r="T240" s="7"/>
      <c r="U240" s="7"/>
      <c r="V240" s="5"/>
      <c r="W240" s="98"/>
      <c r="X240" s="98"/>
      <c r="Y240" s="98"/>
      <c r="Z240" s="98"/>
    </row>
    <row r="241" spans="1:26" ht="14.25" customHeight="1" x14ac:dyDescent="0.15">
      <c r="A241" s="344" t="e">
        <f>'Tab1'!#REF!</f>
        <v>#REF!</v>
      </c>
      <c r="B241" s="91" t="e">
        <f>IF('Tab1'!#REF!&lt;&gt;"",'Tab1'!#REF!,"")</f>
        <v>#REF!</v>
      </c>
      <c r="C241" s="91" t="e">
        <f>'Tab1'!#REF!</f>
        <v>#REF!</v>
      </c>
      <c r="D241" s="91" t="e">
        <f>'Tab1'!#REF!</f>
        <v>#REF!</v>
      </c>
      <c r="E241" s="91" t="e">
        <f>IF('Tab1'!#REF!&lt;0,"",'Tab1'!#REF!)</f>
        <v>#REF!</v>
      </c>
      <c r="F241" s="6" t="e">
        <f>'Tab1'!#REF!</f>
        <v>#REF!</v>
      </c>
      <c r="G241" s="91" t="e">
        <f>1/'Tab1'!#REF!</f>
        <v>#REF!</v>
      </c>
      <c r="H241" s="91" t="e">
        <f>IF(G241="","",'Tab1'!#REF!)</f>
        <v>#REF!</v>
      </c>
      <c r="I241" s="91" t="e">
        <f>IF(H241="","",'Tab1'!#REF!)</f>
        <v>#REF!</v>
      </c>
      <c r="J241" s="91" t="e">
        <f>IF(I241="","",'Tab1'!#REF!)</f>
        <v>#REF!</v>
      </c>
      <c r="K241" s="91" t="e">
        <f>IF(J241="","",'Tab1'!#REF!)</f>
        <v>#REF!</v>
      </c>
      <c r="L241" s="55"/>
      <c r="M241" s="55"/>
      <c r="N241" s="55"/>
      <c r="O241" s="7"/>
      <c r="P241" s="7"/>
      <c r="Q241" s="7"/>
      <c r="R241" s="7"/>
      <c r="S241" s="7"/>
      <c r="T241" s="7"/>
      <c r="U241" s="7"/>
      <c r="V241" s="5"/>
      <c r="W241" s="98"/>
      <c r="X241" s="98"/>
      <c r="Y241" s="98"/>
      <c r="Z241" s="98"/>
    </row>
    <row r="242" spans="1:26" ht="14.25" customHeight="1" x14ac:dyDescent="0.15">
      <c r="A242" s="344" t="e">
        <f>'Tab1'!#REF!</f>
        <v>#REF!</v>
      </c>
      <c r="B242" s="91" t="e">
        <f>IF('Tab1'!#REF!&lt;&gt;"",'Tab1'!#REF!,"")</f>
        <v>#REF!</v>
      </c>
      <c r="C242" s="91" t="e">
        <f>'Tab1'!#REF!</f>
        <v>#REF!</v>
      </c>
      <c r="D242" s="91" t="e">
        <f>'Tab1'!#REF!</f>
        <v>#REF!</v>
      </c>
      <c r="E242" s="91" t="e">
        <f>IF('Tab1'!#REF!&lt;0,"",'Tab1'!#REF!)</f>
        <v>#REF!</v>
      </c>
      <c r="F242" s="6" t="e">
        <f>'Tab1'!#REF!</f>
        <v>#REF!</v>
      </c>
      <c r="G242" s="91" t="e">
        <f>1/'Tab1'!#REF!</f>
        <v>#REF!</v>
      </c>
      <c r="H242" s="91" t="e">
        <f>IF(G242="","",'Tab1'!#REF!)</f>
        <v>#REF!</v>
      </c>
      <c r="I242" s="91" t="e">
        <f>IF(H242="","",'Tab1'!#REF!)</f>
        <v>#REF!</v>
      </c>
      <c r="J242" s="91" t="e">
        <f>IF(I242="","",'Tab1'!#REF!)</f>
        <v>#REF!</v>
      </c>
      <c r="K242" s="91" t="e">
        <f>IF(J242="","",'Tab1'!#REF!)</f>
        <v>#REF!</v>
      </c>
      <c r="L242" s="55"/>
      <c r="M242" s="55"/>
      <c r="N242" s="55"/>
      <c r="O242" s="7"/>
      <c r="P242" s="7"/>
      <c r="Q242" s="7"/>
      <c r="R242" s="7"/>
      <c r="S242" s="7"/>
      <c r="T242" s="7"/>
      <c r="U242" s="7"/>
      <c r="V242" s="5"/>
      <c r="W242" s="98"/>
      <c r="X242" s="98"/>
      <c r="Y242" s="98"/>
      <c r="Z242" s="98"/>
    </row>
    <row r="243" spans="1:26" ht="14.25" customHeight="1" x14ac:dyDescent="0.15">
      <c r="A243" s="344" t="e">
        <f>'Tab1'!#REF!</f>
        <v>#REF!</v>
      </c>
      <c r="B243" s="91" t="e">
        <f>IF('Tab1'!#REF!&lt;&gt;"",'Tab1'!#REF!,"")</f>
        <v>#REF!</v>
      </c>
      <c r="C243" s="91" t="e">
        <f>'Tab1'!#REF!</f>
        <v>#REF!</v>
      </c>
      <c r="D243" s="91" t="e">
        <f>'Tab1'!#REF!</f>
        <v>#REF!</v>
      </c>
      <c r="E243" s="91" t="e">
        <f>IF('Tab1'!#REF!&lt;0,"",'Tab1'!#REF!)</f>
        <v>#REF!</v>
      </c>
      <c r="F243" s="6" t="e">
        <f>'Tab1'!#REF!</f>
        <v>#REF!</v>
      </c>
      <c r="G243" s="91" t="e">
        <f>1/'Tab1'!#REF!</f>
        <v>#REF!</v>
      </c>
      <c r="H243" s="91" t="e">
        <f>IF(G243="","",'Tab1'!#REF!)</f>
        <v>#REF!</v>
      </c>
      <c r="I243" s="91" t="e">
        <f>IF(H243="","",'Tab1'!#REF!)</f>
        <v>#REF!</v>
      </c>
      <c r="J243" s="91" t="e">
        <f>IF(I243="","",'Tab1'!#REF!)</f>
        <v>#REF!</v>
      </c>
      <c r="K243" s="91" t="e">
        <f>IF(J243="","",'Tab1'!#REF!)</f>
        <v>#REF!</v>
      </c>
      <c r="L243" s="55"/>
      <c r="M243" s="55"/>
      <c r="N243" s="55"/>
      <c r="O243" s="7"/>
      <c r="P243" s="7"/>
      <c r="Q243" s="7"/>
      <c r="R243" s="7"/>
      <c r="S243" s="7"/>
      <c r="T243" s="7"/>
      <c r="U243" s="7"/>
      <c r="V243" s="5"/>
      <c r="W243" s="98"/>
      <c r="X243" s="98"/>
      <c r="Y243" s="98"/>
      <c r="Z243" s="98"/>
    </row>
    <row r="244" spans="1:26" ht="14.25" customHeight="1" x14ac:dyDescent="0.15">
      <c r="A244" s="344" t="e">
        <f>'Tab1'!#REF!</f>
        <v>#REF!</v>
      </c>
      <c r="B244" s="91" t="e">
        <f>IF('Tab1'!#REF!&lt;&gt;"",'Tab1'!#REF!,"")</f>
        <v>#REF!</v>
      </c>
      <c r="C244" s="91" t="e">
        <f>'Tab1'!#REF!</f>
        <v>#REF!</v>
      </c>
      <c r="D244" s="91" t="e">
        <f>'Tab1'!#REF!</f>
        <v>#REF!</v>
      </c>
      <c r="E244" s="91" t="e">
        <f>IF('Tab1'!#REF!&lt;0,"",'Tab1'!#REF!)</f>
        <v>#REF!</v>
      </c>
      <c r="F244" s="6" t="e">
        <f>'Tab1'!#REF!</f>
        <v>#REF!</v>
      </c>
      <c r="G244" s="91" t="e">
        <f>1/'Tab1'!#REF!</f>
        <v>#REF!</v>
      </c>
      <c r="H244" s="91" t="e">
        <f>IF(G244="","",'Tab1'!#REF!)</f>
        <v>#REF!</v>
      </c>
      <c r="I244" s="91" t="e">
        <f>IF(H244="","",'Tab1'!#REF!)</f>
        <v>#REF!</v>
      </c>
      <c r="J244" s="91" t="e">
        <f>IF(I244="","",'Tab1'!#REF!)</f>
        <v>#REF!</v>
      </c>
      <c r="K244" s="91" t="e">
        <f>IF(J244="","",'Tab1'!#REF!)</f>
        <v>#REF!</v>
      </c>
      <c r="L244" s="55"/>
      <c r="M244" s="55"/>
      <c r="N244" s="55"/>
      <c r="O244" s="7"/>
      <c r="P244" s="7"/>
      <c r="Q244" s="7"/>
      <c r="R244" s="7"/>
      <c r="S244" s="7"/>
      <c r="T244" s="7"/>
      <c r="U244" s="7"/>
      <c r="V244" s="5"/>
      <c r="W244" s="98"/>
      <c r="X244" s="98"/>
      <c r="Y244" s="98"/>
      <c r="Z244" s="98"/>
    </row>
    <row r="245" spans="1:26" ht="14.25" customHeight="1" x14ac:dyDescent="0.15">
      <c r="A245" s="344" t="e">
        <f>'Tab1'!#REF!</f>
        <v>#REF!</v>
      </c>
      <c r="B245" s="91" t="e">
        <f>IF('Tab1'!#REF!&lt;&gt;"",'Tab1'!#REF!,"")</f>
        <v>#REF!</v>
      </c>
      <c r="C245" s="91" t="e">
        <f>'Tab1'!#REF!</f>
        <v>#REF!</v>
      </c>
      <c r="D245" s="91" t="e">
        <f>'Tab1'!#REF!</f>
        <v>#REF!</v>
      </c>
      <c r="E245" s="91" t="e">
        <f>IF('Tab1'!#REF!&lt;0,"",'Tab1'!#REF!)</f>
        <v>#REF!</v>
      </c>
      <c r="F245" s="6" t="e">
        <f>'Tab1'!#REF!</f>
        <v>#REF!</v>
      </c>
      <c r="G245" s="91" t="e">
        <f>1/'Tab1'!#REF!</f>
        <v>#REF!</v>
      </c>
      <c r="H245" s="91" t="e">
        <f>IF(G245="","",'Tab1'!#REF!)</f>
        <v>#REF!</v>
      </c>
      <c r="I245" s="91" t="e">
        <f>IF(H245="","",'Tab1'!#REF!)</f>
        <v>#REF!</v>
      </c>
      <c r="J245" s="91" t="e">
        <f>IF(I245="","",'Tab1'!#REF!)</f>
        <v>#REF!</v>
      </c>
      <c r="K245" s="91" t="e">
        <f>IF(J245="","",'Tab1'!#REF!)</f>
        <v>#REF!</v>
      </c>
      <c r="L245" s="55"/>
      <c r="M245" s="55"/>
      <c r="N245" s="55"/>
      <c r="O245" s="7"/>
      <c r="P245" s="7"/>
      <c r="Q245" s="7"/>
      <c r="R245" s="7"/>
      <c r="S245" s="7"/>
      <c r="T245" s="7"/>
      <c r="U245" s="7"/>
      <c r="V245" s="5"/>
      <c r="W245" s="98"/>
      <c r="X245" s="98"/>
      <c r="Y245" s="98"/>
      <c r="Z245" s="98"/>
    </row>
    <row r="246" spans="1:26" ht="14.25" customHeight="1" x14ac:dyDescent="0.15">
      <c r="A246" s="344" t="e">
        <f>'Tab1'!#REF!</f>
        <v>#REF!</v>
      </c>
      <c r="B246" s="91" t="e">
        <f>IF('Tab1'!#REF!&lt;&gt;"",'Tab1'!#REF!,"")</f>
        <v>#REF!</v>
      </c>
      <c r="C246" s="91" t="e">
        <f>'Tab1'!#REF!</f>
        <v>#REF!</v>
      </c>
      <c r="D246" s="91" t="e">
        <f>'Tab1'!#REF!</f>
        <v>#REF!</v>
      </c>
      <c r="E246" s="91" t="e">
        <f>IF('Tab1'!#REF!&lt;0,"",'Tab1'!#REF!)</f>
        <v>#REF!</v>
      </c>
      <c r="F246" s="6" t="e">
        <f>'Tab1'!#REF!</f>
        <v>#REF!</v>
      </c>
      <c r="G246" s="91" t="e">
        <f>1/'Tab1'!#REF!</f>
        <v>#REF!</v>
      </c>
      <c r="H246" s="91" t="e">
        <f>IF(G246="","",'Tab1'!#REF!)</f>
        <v>#REF!</v>
      </c>
      <c r="I246" s="91" t="e">
        <f>IF(H246="","",'Tab1'!#REF!)</f>
        <v>#REF!</v>
      </c>
      <c r="J246" s="91" t="e">
        <f>IF(I246="","",'Tab1'!#REF!)</f>
        <v>#REF!</v>
      </c>
      <c r="K246" s="91" t="e">
        <f>IF(J246="","",'Tab1'!#REF!)</f>
        <v>#REF!</v>
      </c>
      <c r="L246" s="55"/>
      <c r="M246" s="55"/>
      <c r="N246" s="55"/>
      <c r="O246" s="7"/>
      <c r="P246" s="7"/>
      <c r="Q246" s="7"/>
      <c r="R246" s="7"/>
      <c r="S246" s="7"/>
      <c r="T246" s="7"/>
      <c r="U246" s="7"/>
      <c r="V246" s="5"/>
      <c r="W246" s="98"/>
      <c r="X246" s="98"/>
      <c r="Y246" s="98"/>
      <c r="Z246" s="98"/>
    </row>
    <row r="247" spans="1:26" ht="14.25" customHeight="1" x14ac:dyDescent="0.15">
      <c r="A247" s="344" t="e">
        <f>'Tab1'!#REF!</f>
        <v>#REF!</v>
      </c>
      <c r="B247" s="91" t="e">
        <f>IF('Tab1'!#REF!&lt;&gt;"",'Tab1'!#REF!,"")</f>
        <v>#REF!</v>
      </c>
      <c r="C247" s="91" t="e">
        <f>'Tab1'!#REF!</f>
        <v>#REF!</v>
      </c>
      <c r="D247" s="91" t="e">
        <f>'Tab1'!#REF!</f>
        <v>#REF!</v>
      </c>
      <c r="E247" s="91" t="e">
        <f>IF('Tab1'!#REF!&lt;0,"",'Tab1'!#REF!)</f>
        <v>#REF!</v>
      </c>
      <c r="F247" s="6" t="e">
        <f>'Tab1'!#REF!</f>
        <v>#REF!</v>
      </c>
      <c r="G247" s="91" t="e">
        <f>1/'Tab1'!#REF!</f>
        <v>#REF!</v>
      </c>
      <c r="H247" s="91" t="e">
        <f>IF(G247="","",'Tab1'!#REF!)</f>
        <v>#REF!</v>
      </c>
      <c r="I247" s="91" t="e">
        <f>IF(H247="","",'Tab1'!#REF!)</f>
        <v>#REF!</v>
      </c>
      <c r="J247" s="91" t="e">
        <f>IF(I247="","",'Tab1'!#REF!)</f>
        <v>#REF!</v>
      </c>
      <c r="K247" s="91" t="e">
        <f>IF(J247="","",'Tab1'!#REF!)</f>
        <v>#REF!</v>
      </c>
      <c r="L247" s="55"/>
      <c r="M247" s="55"/>
      <c r="N247" s="55"/>
      <c r="O247" s="7"/>
      <c r="P247" s="7"/>
      <c r="Q247" s="7"/>
      <c r="R247" s="7"/>
      <c r="S247" s="7"/>
      <c r="T247" s="7"/>
      <c r="U247" s="7"/>
      <c r="V247" s="5"/>
      <c r="W247" s="98"/>
      <c r="X247" s="98"/>
      <c r="Y247" s="98"/>
      <c r="Z247" s="98"/>
    </row>
    <row r="248" spans="1:26" ht="14.25" customHeight="1" x14ac:dyDescent="0.15">
      <c r="A248" s="344" t="e">
        <f>'Tab1'!#REF!</f>
        <v>#REF!</v>
      </c>
      <c r="B248" s="91" t="e">
        <f>IF('Tab1'!#REF!&lt;&gt;"",'Tab1'!#REF!,"")</f>
        <v>#REF!</v>
      </c>
      <c r="C248" s="91" t="e">
        <f>'Tab1'!#REF!</f>
        <v>#REF!</v>
      </c>
      <c r="D248" s="91" t="e">
        <f>'Tab1'!#REF!</f>
        <v>#REF!</v>
      </c>
      <c r="E248" s="91" t="e">
        <f>IF('Tab1'!#REF!&lt;0,"",'Tab1'!#REF!)</f>
        <v>#REF!</v>
      </c>
      <c r="F248" s="6" t="e">
        <f>'Tab1'!#REF!</f>
        <v>#REF!</v>
      </c>
      <c r="G248" s="91" t="e">
        <f>1/'Tab1'!#REF!</f>
        <v>#REF!</v>
      </c>
      <c r="H248" s="91" t="e">
        <f>IF(G248="","",'Tab1'!#REF!)</f>
        <v>#REF!</v>
      </c>
      <c r="I248" s="91" t="e">
        <f>IF(H248="","",'Tab1'!#REF!)</f>
        <v>#REF!</v>
      </c>
      <c r="J248" s="91" t="e">
        <f>IF(I248="","",'Tab1'!#REF!)</f>
        <v>#REF!</v>
      </c>
      <c r="K248" s="91" t="e">
        <f>IF(J248="","",'Tab1'!#REF!)</f>
        <v>#REF!</v>
      </c>
      <c r="L248" s="55"/>
      <c r="M248" s="55"/>
      <c r="N248" s="55"/>
      <c r="O248" s="7"/>
      <c r="P248" s="7"/>
      <c r="Q248" s="7"/>
      <c r="R248" s="7"/>
      <c r="S248" s="7"/>
      <c r="T248" s="7"/>
      <c r="U248" s="7"/>
      <c r="V248" s="5"/>
      <c r="W248" s="98"/>
      <c r="X248" s="98"/>
      <c r="Y248" s="98"/>
      <c r="Z248" s="98"/>
    </row>
    <row r="249" spans="1:26" ht="14.25" customHeight="1" x14ac:dyDescent="0.15">
      <c r="A249" s="344" t="e">
        <f>'Tab1'!#REF!</f>
        <v>#REF!</v>
      </c>
      <c r="B249" s="91" t="e">
        <f>IF('Tab1'!#REF!&lt;&gt;"",'Tab1'!#REF!,"")</f>
        <v>#REF!</v>
      </c>
      <c r="C249" s="91" t="e">
        <f>'Tab1'!#REF!</f>
        <v>#REF!</v>
      </c>
      <c r="D249" s="91" t="e">
        <f>'Tab1'!#REF!</f>
        <v>#REF!</v>
      </c>
      <c r="E249" s="91" t="e">
        <f>IF('Tab1'!#REF!&lt;0,"",'Tab1'!#REF!)</f>
        <v>#REF!</v>
      </c>
      <c r="F249" s="6" t="e">
        <f>'Tab1'!#REF!</f>
        <v>#REF!</v>
      </c>
      <c r="G249" s="91" t="e">
        <f>1/'Tab1'!#REF!</f>
        <v>#REF!</v>
      </c>
      <c r="H249" s="91" t="e">
        <f>IF(G249="","",'Tab1'!#REF!)</f>
        <v>#REF!</v>
      </c>
      <c r="I249" s="91" t="e">
        <f>IF(H249="","",'Tab1'!#REF!)</f>
        <v>#REF!</v>
      </c>
      <c r="J249" s="91" t="e">
        <f>IF(I249="","",'Tab1'!#REF!)</f>
        <v>#REF!</v>
      </c>
      <c r="K249" s="91" t="e">
        <f>IF(J249="","",'Tab1'!#REF!)</f>
        <v>#REF!</v>
      </c>
      <c r="L249" s="55"/>
      <c r="M249" s="55"/>
      <c r="N249" s="55"/>
      <c r="O249" s="7"/>
      <c r="P249" s="7"/>
      <c r="Q249" s="7"/>
      <c r="R249" s="7"/>
      <c r="S249" s="7"/>
      <c r="T249" s="7"/>
      <c r="U249" s="7"/>
      <c r="V249" s="5"/>
      <c r="W249" s="98"/>
      <c r="X249" s="98"/>
      <c r="Y249" s="98"/>
      <c r="Z249" s="98"/>
    </row>
    <row r="250" spans="1:26" ht="14.25" customHeight="1" x14ac:dyDescent="0.15">
      <c r="A250" s="344" t="e">
        <f>'Tab1'!#REF!</f>
        <v>#REF!</v>
      </c>
      <c r="B250" s="91" t="e">
        <f>IF('Tab1'!#REF!&lt;&gt;"",'Tab1'!#REF!,"")</f>
        <v>#REF!</v>
      </c>
      <c r="C250" s="91" t="e">
        <f>'Tab1'!#REF!</f>
        <v>#REF!</v>
      </c>
      <c r="D250" s="91" t="e">
        <f>'Tab1'!#REF!</f>
        <v>#REF!</v>
      </c>
      <c r="E250" s="91" t="e">
        <f>IF('Tab1'!#REF!&lt;0,"",'Tab1'!#REF!)</f>
        <v>#REF!</v>
      </c>
      <c r="F250" s="6" t="e">
        <f>'Tab1'!#REF!</f>
        <v>#REF!</v>
      </c>
      <c r="G250" s="91" t="e">
        <f>1/'Tab1'!#REF!</f>
        <v>#REF!</v>
      </c>
      <c r="H250" s="91" t="e">
        <f>IF(G250="","",'Tab1'!#REF!)</f>
        <v>#REF!</v>
      </c>
      <c r="I250" s="91" t="e">
        <f>IF(H250="","",'Tab1'!#REF!)</f>
        <v>#REF!</v>
      </c>
      <c r="J250" s="91" t="e">
        <f>IF(I250="","",'Tab1'!#REF!)</f>
        <v>#REF!</v>
      </c>
      <c r="K250" s="91" t="e">
        <f>IF(J250="","",'Tab1'!#REF!)</f>
        <v>#REF!</v>
      </c>
      <c r="L250" s="55"/>
      <c r="M250" s="55"/>
      <c r="N250" s="55"/>
      <c r="O250" s="7"/>
      <c r="P250" s="7"/>
      <c r="Q250" s="7"/>
      <c r="R250" s="7"/>
      <c r="S250" s="7"/>
      <c r="T250" s="7"/>
      <c r="U250" s="7"/>
      <c r="V250" s="5"/>
      <c r="W250" s="98"/>
      <c r="X250" s="98"/>
      <c r="Y250" s="98"/>
      <c r="Z250" s="98"/>
    </row>
    <row r="251" spans="1:26" ht="14.25" customHeight="1" x14ac:dyDescent="0.15">
      <c r="A251" s="344" t="e">
        <f>'Tab1'!#REF!</f>
        <v>#REF!</v>
      </c>
      <c r="B251" s="91" t="e">
        <f>IF('Tab1'!#REF!&lt;&gt;"",'Tab1'!#REF!,"")</f>
        <v>#REF!</v>
      </c>
      <c r="C251" s="91" t="e">
        <f>'Tab1'!#REF!</f>
        <v>#REF!</v>
      </c>
      <c r="D251" s="91" t="e">
        <f>'Tab1'!#REF!</f>
        <v>#REF!</v>
      </c>
      <c r="E251" s="91" t="e">
        <f>IF('Tab1'!#REF!&lt;0,"",'Tab1'!#REF!)</f>
        <v>#REF!</v>
      </c>
      <c r="F251" s="6" t="e">
        <f>'Tab1'!#REF!</f>
        <v>#REF!</v>
      </c>
      <c r="G251" s="91" t="e">
        <f>1/'Tab1'!#REF!</f>
        <v>#REF!</v>
      </c>
      <c r="H251" s="91" t="e">
        <f>IF(G251="","",'Tab1'!#REF!)</f>
        <v>#REF!</v>
      </c>
      <c r="I251" s="91" t="e">
        <f>IF(H251="","",'Tab1'!#REF!)</f>
        <v>#REF!</v>
      </c>
      <c r="J251" s="91" t="e">
        <f>IF(I251="","",'Tab1'!#REF!)</f>
        <v>#REF!</v>
      </c>
      <c r="K251" s="91" t="e">
        <f>IF(J251="","",'Tab1'!#REF!)</f>
        <v>#REF!</v>
      </c>
      <c r="L251" s="55"/>
      <c r="M251" s="55"/>
      <c r="N251" s="55"/>
      <c r="O251" s="7"/>
      <c r="P251" s="7"/>
      <c r="Q251" s="7"/>
      <c r="R251" s="7"/>
      <c r="S251" s="7"/>
      <c r="T251" s="7"/>
      <c r="U251" s="7"/>
      <c r="V251" s="5"/>
      <c r="W251" s="98"/>
      <c r="X251" s="98"/>
      <c r="Y251" s="98"/>
      <c r="Z251" s="98"/>
    </row>
    <row r="252" spans="1:26" ht="14.25" customHeight="1" x14ac:dyDescent="0.15">
      <c r="A252" s="344" t="e">
        <f>'Tab1'!#REF!</f>
        <v>#REF!</v>
      </c>
      <c r="B252" s="91" t="e">
        <f>IF('Tab1'!#REF!&lt;&gt;"",'Tab1'!#REF!,"")</f>
        <v>#REF!</v>
      </c>
      <c r="C252" s="91" t="e">
        <f>'Tab1'!#REF!</f>
        <v>#REF!</v>
      </c>
      <c r="D252" s="91" t="e">
        <f>'Tab1'!#REF!</f>
        <v>#REF!</v>
      </c>
      <c r="E252" s="91" t="e">
        <f>IF('Tab1'!#REF!&lt;0,"",'Tab1'!#REF!)</f>
        <v>#REF!</v>
      </c>
      <c r="F252" s="6" t="e">
        <f>'Tab1'!#REF!</f>
        <v>#REF!</v>
      </c>
      <c r="G252" s="91" t="e">
        <f>1/'Tab1'!#REF!</f>
        <v>#REF!</v>
      </c>
      <c r="H252" s="91" t="e">
        <f>IF(G252="","",'Tab1'!#REF!)</f>
        <v>#REF!</v>
      </c>
      <c r="I252" s="91" t="e">
        <f>IF(H252="","",'Tab1'!#REF!)</f>
        <v>#REF!</v>
      </c>
      <c r="J252" s="91" t="e">
        <f>IF(I252="","",'Tab1'!#REF!)</f>
        <v>#REF!</v>
      </c>
      <c r="K252" s="91" t="e">
        <f>IF(J252="","",'Tab1'!#REF!)</f>
        <v>#REF!</v>
      </c>
      <c r="L252" s="55"/>
      <c r="M252" s="55"/>
      <c r="N252" s="55"/>
      <c r="O252" s="7"/>
      <c r="P252" s="7"/>
      <c r="Q252" s="7"/>
      <c r="R252" s="7"/>
      <c r="S252" s="7"/>
      <c r="T252" s="7"/>
      <c r="U252" s="7"/>
      <c r="V252" s="5"/>
      <c r="W252" s="98"/>
      <c r="X252" s="98"/>
      <c r="Y252" s="98"/>
      <c r="Z252" s="98"/>
    </row>
    <row r="253" spans="1:26" ht="14.25" customHeight="1" x14ac:dyDescent="0.15">
      <c r="A253" s="344" t="e">
        <f>'Tab1'!#REF!</f>
        <v>#REF!</v>
      </c>
      <c r="B253" s="91" t="e">
        <f>IF('Tab1'!#REF!&lt;&gt;"",'Tab1'!#REF!,"")</f>
        <v>#REF!</v>
      </c>
      <c r="C253" s="91" t="e">
        <f>'Tab1'!#REF!</f>
        <v>#REF!</v>
      </c>
      <c r="D253" s="91" t="e">
        <f>'Tab1'!#REF!</f>
        <v>#REF!</v>
      </c>
      <c r="E253" s="91" t="e">
        <f>IF('Tab1'!#REF!&lt;0,"",'Tab1'!#REF!)</f>
        <v>#REF!</v>
      </c>
      <c r="F253" s="6" t="e">
        <f>'Tab1'!#REF!</f>
        <v>#REF!</v>
      </c>
      <c r="G253" s="91" t="e">
        <f>1/'Tab1'!#REF!</f>
        <v>#REF!</v>
      </c>
      <c r="H253" s="91" t="e">
        <f>IF(G253="","",'Tab1'!#REF!)</f>
        <v>#REF!</v>
      </c>
      <c r="I253" s="91" t="e">
        <f>IF(H253="","",'Tab1'!#REF!)</f>
        <v>#REF!</v>
      </c>
      <c r="J253" s="91" t="e">
        <f>IF(I253="","",'Tab1'!#REF!)</f>
        <v>#REF!</v>
      </c>
      <c r="K253" s="91" t="e">
        <f>IF(J253="","",'Tab1'!#REF!)</f>
        <v>#REF!</v>
      </c>
      <c r="L253" s="55"/>
      <c r="M253" s="55"/>
      <c r="N253" s="55"/>
      <c r="O253" s="7"/>
      <c r="P253" s="7"/>
      <c r="Q253" s="7"/>
      <c r="R253" s="7"/>
      <c r="S253" s="7"/>
      <c r="T253" s="7"/>
      <c r="U253" s="7"/>
      <c r="V253" s="5"/>
      <c r="W253" s="98"/>
      <c r="X253" s="98"/>
      <c r="Y253" s="98"/>
      <c r="Z253" s="98"/>
    </row>
    <row r="254" spans="1:26" ht="14.25" customHeight="1" x14ac:dyDescent="0.15">
      <c r="A254" s="344" t="e">
        <f>'Tab1'!#REF!</f>
        <v>#REF!</v>
      </c>
      <c r="B254" s="91" t="e">
        <f>IF('Tab1'!#REF!&lt;&gt;"",'Tab1'!#REF!,"")</f>
        <v>#REF!</v>
      </c>
      <c r="C254" s="91" t="e">
        <f>'Tab1'!#REF!</f>
        <v>#REF!</v>
      </c>
      <c r="D254" s="91" t="e">
        <f>'Tab1'!#REF!</f>
        <v>#REF!</v>
      </c>
      <c r="E254" s="91" t="e">
        <f>IF('Tab1'!#REF!&lt;0,"",'Tab1'!#REF!)</f>
        <v>#REF!</v>
      </c>
      <c r="F254" s="6" t="e">
        <f>'Tab1'!#REF!</f>
        <v>#REF!</v>
      </c>
      <c r="G254" s="91" t="e">
        <f>1/'Tab1'!#REF!</f>
        <v>#REF!</v>
      </c>
      <c r="H254" s="91" t="e">
        <f>IF(G254="","",'Tab1'!#REF!)</f>
        <v>#REF!</v>
      </c>
      <c r="I254" s="91" t="e">
        <f>IF(H254="","",'Tab1'!#REF!)</f>
        <v>#REF!</v>
      </c>
      <c r="J254" s="91" t="e">
        <f>IF(I254="","",'Tab1'!#REF!)</f>
        <v>#REF!</v>
      </c>
      <c r="K254" s="91" t="e">
        <f>IF(J254="","",'Tab1'!#REF!)</f>
        <v>#REF!</v>
      </c>
      <c r="L254" s="55"/>
      <c r="M254" s="55"/>
      <c r="N254" s="55"/>
      <c r="O254" s="7"/>
      <c r="P254" s="7"/>
      <c r="Q254" s="7"/>
      <c r="R254" s="7"/>
      <c r="S254" s="7"/>
      <c r="T254" s="7"/>
      <c r="U254" s="7"/>
      <c r="V254" s="5"/>
      <c r="W254" s="98"/>
      <c r="X254" s="98"/>
      <c r="Y254" s="98"/>
      <c r="Z254" s="98"/>
    </row>
    <row r="255" spans="1:26" ht="14.25" customHeight="1" x14ac:dyDescent="0.15">
      <c r="A255" s="344" t="e">
        <f>'Tab1'!#REF!</f>
        <v>#REF!</v>
      </c>
      <c r="B255" s="91" t="e">
        <f>IF('Tab1'!#REF!&lt;&gt;"",'Tab1'!#REF!,"")</f>
        <v>#REF!</v>
      </c>
      <c r="C255" s="91" t="e">
        <f>'Tab1'!#REF!</f>
        <v>#REF!</v>
      </c>
      <c r="D255" s="91" t="e">
        <f>'Tab1'!#REF!</f>
        <v>#REF!</v>
      </c>
      <c r="E255" s="91" t="e">
        <f>IF('Tab1'!#REF!&lt;0,"",'Tab1'!#REF!)</f>
        <v>#REF!</v>
      </c>
      <c r="F255" s="6" t="e">
        <f>'Tab1'!#REF!</f>
        <v>#REF!</v>
      </c>
      <c r="G255" s="91" t="e">
        <f>1/'Tab1'!#REF!</f>
        <v>#REF!</v>
      </c>
      <c r="H255" s="91" t="e">
        <f>IF(G255="","",'Tab1'!#REF!)</f>
        <v>#REF!</v>
      </c>
      <c r="I255" s="91" t="e">
        <f>IF(H255="","",'Tab1'!#REF!)</f>
        <v>#REF!</v>
      </c>
      <c r="J255" s="91" t="e">
        <f>IF(I255="","",'Tab1'!#REF!)</f>
        <v>#REF!</v>
      </c>
      <c r="K255" s="91" t="e">
        <f>IF(J255="","",'Tab1'!#REF!)</f>
        <v>#REF!</v>
      </c>
      <c r="L255" s="55"/>
      <c r="M255" s="55"/>
      <c r="N255" s="55"/>
      <c r="O255" s="7"/>
      <c r="P255" s="7"/>
      <c r="Q255" s="7"/>
      <c r="R255" s="7"/>
      <c r="S255" s="7"/>
      <c r="T255" s="7"/>
      <c r="U255" s="7"/>
      <c r="V255" s="5"/>
      <c r="W255" s="98"/>
      <c r="X255" s="98"/>
      <c r="Y255" s="98"/>
      <c r="Z255" s="98"/>
    </row>
    <row r="256" spans="1:26" ht="14.25" customHeight="1" x14ac:dyDescent="0.15">
      <c r="A256" s="344" t="e">
        <f>'Tab1'!#REF!</f>
        <v>#REF!</v>
      </c>
      <c r="B256" s="91" t="e">
        <f>IF('Tab1'!#REF!&lt;&gt;"",'Tab1'!#REF!,"")</f>
        <v>#REF!</v>
      </c>
      <c r="C256" s="91" t="e">
        <f>'Tab1'!#REF!</f>
        <v>#REF!</v>
      </c>
      <c r="D256" s="91" t="e">
        <f>'Tab1'!#REF!</f>
        <v>#REF!</v>
      </c>
      <c r="E256" s="91" t="e">
        <f>IF('Tab1'!#REF!&lt;0,"",'Tab1'!#REF!)</f>
        <v>#REF!</v>
      </c>
      <c r="F256" s="6" t="e">
        <f>'Tab1'!#REF!</f>
        <v>#REF!</v>
      </c>
      <c r="G256" s="91" t="e">
        <f>1/'Tab1'!#REF!</f>
        <v>#REF!</v>
      </c>
      <c r="H256" s="91" t="e">
        <f>IF(G256="","",'Tab1'!#REF!)</f>
        <v>#REF!</v>
      </c>
      <c r="I256" s="91" t="e">
        <f>IF(H256="","",'Tab1'!#REF!)</f>
        <v>#REF!</v>
      </c>
      <c r="J256" s="91" t="e">
        <f>IF(I256="","",'Tab1'!#REF!)</f>
        <v>#REF!</v>
      </c>
      <c r="K256" s="91" t="e">
        <f>IF(J256="","",'Tab1'!#REF!)</f>
        <v>#REF!</v>
      </c>
      <c r="L256" s="55"/>
      <c r="M256" s="55"/>
      <c r="N256" s="55"/>
      <c r="O256" s="7"/>
      <c r="P256" s="7"/>
      <c r="Q256" s="7"/>
      <c r="R256" s="7"/>
      <c r="S256" s="7"/>
      <c r="T256" s="7"/>
      <c r="U256" s="7"/>
      <c r="V256" s="5"/>
      <c r="W256" s="98"/>
      <c r="X256" s="98"/>
      <c r="Y256" s="98"/>
      <c r="Z256" s="98"/>
    </row>
    <row r="257" spans="1:26" ht="14.25" customHeight="1" x14ac:dyDescent="0.15">
      <c r="A257" s="344" t="e">
        <f>'Tab1'!#REF!</f>
        <v>#REF!</v>
      </c>
      <c r="B257" s="91" t="e">
        <f>IF('Tab1'!#REF!&lt;&gt;"",'Tab1'!#REF!,"")</f>
        <v>#REF!</v>
      </c>
      <c r="C257" s="91" t="e">
        <f>'Tab1'!#REF!</f>
        <v>#REF!</v>
      </c>
      <c r="D257" s="91" t="e">
        <f>'Tab1'!#REF!</f>
        <v>#REF!</v>
      </c>
      <c r="E257" s="91" t="e">
        <f>IF('Tab1'!#REF!&lt;0,"",'Tab1'!#REF!)</f>
        <v>#REF!</v>
      </c>
      <c r="F257" s="6" t="e">
        <f>'Tab1'!#REF!</f>
        <v>#REF!</v>
      </c>
      <c r="G257" s="91" t="e">
        <f>1/'Tab1'!#REF!</f>
        <v>#REF!</v>
      </c>
      <c r="H257" s="91" t="e">
        <f>IF(G257="","",'Tab1'!#REF!)</f>
        <v>#REF!</v>
      </c>
      <c r="I257" s="91" t="e">
        <f>IF(H257="","",'Tab1'!#REF!)</f>
        <v>#REF!</v>
      </c>
      <c r="J257" s="91" t="e">
        <f>IF(I257="","",'Tab1'!#REF!)</f>
        <v>#REF!</v>
      </c>
      <c r="K257" s="91" t="e">
        <f>IF(J257="","",'Tab1'!#REF!)</f>
        <v>#REF!</v>
      </c>
      <c r="L257" s="55"/>
      <c r="M257" s="55"/>
      <c r="N257" s="55"/>
      <c r="O257" s="7"/>
      <c r="P257" s="7"/>
      <c r="Q257" s="7"/>
      <c r="R257" s="7"/>
      <c r="S257" s="7"/>
      <c r="T257" s="7"/>
      <c r="U257" s="7"/>
      <c r="V257" s="5"/>
      <c r="W257" s="98"/>
      <c r="X257" s="98"/>
      <c r="Y257" s="98"/>
      <c r="Z257" s="98"/>
    </row>
    <row r="258" spans="1:26" ht="14.25" customHeight="1" x14ac:dyDescent="0.15">
      <c r="A258" s="344" t="e">
        <f>'Tab1'!#REF!</f>
        <v>#REF!</v>
      </c>
      <c r="B258" s="91" t="e">
        <f>IF('Tab1'!#REF!&lt;&gt;"",'Tab1'!#REF!,"")</f>
        <v>#REF!</v>
      </c>
      <c r="C258" s="91" t="e">
        <f>'Tab1'!#REF!</f>
        <v>#REF!</v>
      </c>
      <c r="D258" s="91" t="e">
        <f>'Tab1'!#REF!</f>
        <v>#REF!</v>
      </c>
      <c r="E258" s="91" t="e">
        <f>IF('Tab1'!#REF!&lt;0,"",'Tab1'!#REF!)</f>
        <v>#REF!</v>
      </c>
      <c r="F258" s="6" t="e">
        <f>'Tab1'!#REF!</f>
        <v>#REF!</v>
      </c>
      <c r="G258" s="91" t="e">
        <f>1/'Tab1'!#REF!</f>
        <v>#REF!</v>
      </c>
      <c r="H258" s="91" t="e">
        <f>IF(G258="","",'Tab1'!#REF!)</f>
        <v>#REF!</v>
      </c>
      <c r="I258" s="91" t="e">
        <f>IF(H258="","",'Tab1'!#REF!)</f>
        <v>#REF!</v>
      </c>
      <c r="J258" s="91" t="e">
        <f>IF(I258="","",'Tab1'!#REF!)</f>
        <v>#REF!</v>
      </c>
      <c r="K258" s="91" t="e">
        <f>IF(J258="","",'Tab1'!#REF!)</f>
        <v>#REF!</v>
      </c>
      <c r="L258" s="55"/>
      <c r="M258" s="55"/>
      <c r="N258" s="55"/>
      <c r="O258" s="7"/>
      <c r="P258" s="7"/>
      <c r="Q258" s="7"/>
      <c r="R258" s="7"/>
      <c r="S258" s="7"/>
      <c r="T258" s="7"/>
      <c r="U258" s="7"/>
      <c r="V258" s="5"/>
      <c r="W258" s="98"/>
      <c r="X258" s="98"/>
      <c r="Y258" s="98"/>
      <c r="Z258" s="98"/>
    </row>
    <row r="259" spans="1:26" ht="14.25" customHeight="1" x14ac:dyDescent="0.15">
      <c r="A259" s="344" t="e">
        <f>'Tab1'!#REF!</f>
        <v>#REF!</v>
      </c>
      <c r="B259" s="91" t="e">
        <f>IF('Tab1'!#REF!&lt;&gt;"",'Tab1'!#REF!,"")</f>
        <v>#REF!</v>
      </c>
      <c r="C259" s="91" t="e">
        <f>'Tab1'!#REF!</f>
        <v>#REF!</v>
      </c>
      <c r="D259" s="91" t="e">
        <f>'Tab1'!#REF!</f>
        <v>#REF!</v>
      </c>
      <c r="E259" s="91" t="e">
        <f>IF('Tab1'!#REF!&lt;0,"",'Tab1'!#REF!)</f>
        <v>#REF!</v>
      </c>
      <c r="F259" s="6" t="e">
        <f>'Tab1'!#REF!</f>
        <v>#REF!</v>
      </c>
      <c r="G259" s="91" t="e">
        <f>1/'Tab1'!#REF!</f>
        <v>#REF!</v>
      </c>
      <c r="H259" s="91" t="e">
        <f>IF(G259="","",'Tab1'!#REF!)</f>
        <v>#REF!</v>
      </c>
      <c r="I259" s="91" t="e">
        <f>IF(H259="","",'Tab1'!#REF!)</f>
        <v>#REF!</v>
      </c>
      <c r="J259" s="91" t="e">
        <f>IF(I259="","",'Tab1'!#REF!)</f>
        <v>#REF!</v>
      </c>
      <c r="K259" s="91" t="e">
        <f>IF(J259="","",'Tab1'!#REF!)</f>
        <v>#REF!</v>
      </c>
      <c r="L259" s="55"/>
      <c r="M259" s="55"/>
      <c r="N259" s="55"/>
      <c r="O259" s="7"/>
      <c r="P259" s="7"/>
      <c r="Q259" s="7"/>
      <c r="R259" s="7"/>
      <c r="S259" s="7"/>
      <c r="T259" s="7"/>
      <c r="U259" s="7"/>
      <c r="V259" s="5"/>
      <c r="W259" s="98"/>
      <c r="X259" s="98"/>
      <c r="Y259" s="98"/>
      <c r="Z259" s="98"/>
    </row>
    <row r="260" spans="1:26" ht="14.25" customHeight="1" x14ac:dyDescent="0.15">
      <c r="A260" s="344" t="e">
        <f>'Tab1'!#REF!</f>
        <v>#REF!</v>
      </c>
      <c r="B260" s="91" t="e">
        <f>IF('Tab1'!#REF!&lt;&gt;"",'Tab1'!#REF!,"")</f>
        <v>#REF!</v>
      </c>
      <c r="C260" s="91" t="e">
        <f>'Tab1'!#REF!</f>
        <v>#REF!</v>
      </c>
      <c r="D260" s="91" t="e">
        <f>'Tab1'!#REF!</f>
        <v>#REF!</v>
      </c>
      <c r="E260" s="91" t="e">
        <f>IF('Tab1'!#REF!&lt;0,"",'Tab1'!#REF!)</f>
        <v>#REF!</v>
      </c>
      <c r="F260" s="6" t="e">
        <f>'Tab1'!#REF!</f>
        <v>#REF!</v>
      </c>
      <c r="G260" s="91" t="e">
        <f>1/'Tab1'!#REF!</f>
        <v>#REF!</v>
      </c>
      <c r="H260" s="91" t="e">
        <f>IF(G260="","",'Tab1'!#REF!)</f>
        <v>#REF!</v>
      </c>
      <c r="I260" s="91" t="e">
        <f>IF(H260="","",'Tab1'!#REF!)</f>
        <v>#REF!</v>
      </c>
      <c r="J260" s="91" t="e">
        <f>IF(I260="","",'Tab1'!#REF!)</f>
        <v>#REF!</v>
      </c>
      <c r="K260" s="91" t="e">
        <f>IF(J260="","",'Tab1'!#REF!)</f>
        <v>#REF!</v>
      </c>
      <c r="L260" s="55"/>
      <c r="M260" s="55"/>
      <c r="N260" s="55"/>
      <c r="O260" s="7"/>
      <c r="P260" s="7"/>
      <c r="Q260" s="7"/>
      <c r="R260" s="7"/>
      <c r="S260" s="7"/>
      <c r="T260" s="7"/>
      <c r="U260" s="7"/>
      <c r="V260" s="5"/>
      <c r="W260" s="98"/>
      <c r="X260" s="98"/>
      <c r="Y260" s="98"/>
      <c r="Z260" s="98"/>
    </row>
    <row r="261" spans="1:26" ht="14.25" customHeight="1" x14ac:dyDescent="0.15">
      <c r="A261" s="344" t="e">
        <f>'Tab1'!#REF!</f>
        <v>#REF!</v>
      </c>
      <c r="B261" s="91" t="e">
        <f>IF('Tab1'!#REF!&lt;&gt;"",'Tab1'!#REF!,"")</f>
        <v>#REF!</v>
      </c>
      <c r="C261" s="91" t="e">
        <f>'Tab1'!#REF!</f>
        <v>#REF!</v>
      </c>
      <c r="D261" s="91" t="e">
        <f>'Tab1'!#REF!</f>
        <v>#REF!</v>
      </c>
      <c r="E261" s="91" t="e">
        <f>IF('Tab1'!#REF!&lt;0,"",'Tab1'!#REF!)</f>
        <v>#REF!</v>
      </c>
      <c r="F261" s="6" t="e">
        <f>'Tab1'!#REF!</f>
        <v>#REF!</v>
      </c>
      <c r="G261" s="91" t="e">
        <f>1/'Tab1'!#REF!</f>
        <v>#REF!</v>
      </c>
      <c r="H261" s="91" t="e">
        <f>IF(G261="","",'Tab1'!#REF!)</f>
        <v>#REF!</v>
      </c>
      <c r="I261" s="91" t="e">
        <f>IF(H261="","",'Tab1'!#REF!)</f>
        <v>#REF!</v>
      </c>
      <c r="J261" s="91" t="e">
        <f>IF(I261="","",'Tab1'!#REF!)</f>
        <v>#REF!</v>
      </c>
      <c r="K261" s="91" t="e">
        <f>IF(J261="","",'Tab1'!#REF!)</f>
        <v>#REF!</v>
      </c>
      <c r="L261" s="55"/>
      <c r="M261" s="55"/>
      <c r="N261" s="55"/>
      <c r="O261" s="7"/>
      <c r="P261" s="7"/>
      <c r="Q261" s="7"/>
      <c r="R261" s="7"/>
      <c r="S261" s="7"/>
      <c r="T261" s="7"/>
      <c r="U261" s="7"/>
      <c r="V261" s="5"/>
      <c r="W261" s="98"/>
      <c r="X261" s="98"/>
      <c r="Y261" s="98"/>
      <c r="Z261" s="98"/>
    </row>
    <row r="262" spans="1:26" ht="14.25" customHeight="1" x14ac:dyDescent="0.15">
      <c r="A262" s="344" t="e">
        <f>'Tab1'!#REF!</f>
        <v>#REF!</v>
      </c>
      <c r="B262" s="91" t="e">
        <f>IF('Tab1'!#REF!&lt;&gt;"",'Tab1'!#REF!,"")</f>
        <v>#REF!</v>
      </c>
      <c r="C262" s="91" t="e">
        <f>'Tab1'!#REF!</f>
        <v>#REF!</v>
      </c>
      <c r="D262" s="91" t="e">
        <f>'Tab1'!#REF!</f>
        <v>#REF!</v>
      </c>
      <c r="E262" s="91" t="e">
        <f>IF('Tab1'!#REF!&lt;0,"",'Tab1'!#REF!)</f>
        <v>#REF!</v>
      </c>
      <c r="F262" s="6" t="e">
        <f>'Tab1'!#REF!</f>
        <v>#REF!</v>
      </c>
      <c r="G262" s="91" t="e">
        <f>1/'Tab1'!#REF!</f>
        <v>#REF!</v>
      </c>
      <c r="H262" s="91" t="e">
        <f>IF(G262="","",'Tab1'!#REF!)</f>
        <v>#REF!</v>
      </c>
      <c r="I262" s="91" t="e">
        <f>IF(H262="","",'Tab1'!#REF!)</f>
        <v>#REF!</v>
      </c>
      <c r="J262" s="91" t="e">
        <f>IF(I262="","",'Tab1'!#REF!)</f>
        <v>#REF!</v>
      </c>
      <c r="K262" s="91" t="e">
        <f>IF(J262="","",'Tab1'!#REF!)</f>
        <v>#REF!</v>
      </c>
      <c r="L262" s="55"/>
      <c r="M262" s="55"/>
      <c r="N262" s="55"/>
      <c r="O262" s="7"/>
      <c r="P262" s="7"/>
      <c r="Q262" s="7"/>
      <c r="R262" s="7"/>
      <c r="S262" s="7"/>
      <c r="T262" s="7"/>
      <c r="U262" s="7"/>
      <c r="V262" s="5"/>
      <c r="W262" s="98"/>
      <c r="X262" s="98"/>
      <c r="Y262" s="98"/>
      <c r="Z262" s="98"/>
    </row>
    <row r="263" spans="1:26" ht="14.25" customHeight="1" x14ac:dyDescent="0.15">
      <c r="A263" s="344" t="e">
        <f>'Tab1'!#REF!</f>
        <v>#REF!</v>
      </c>
      <c r="B263" s="91" t="e">
        <f>IF('Tab1'!#REF!&lt;&gt;"",'Tab1'!#REF!,"")</f>
        <v>#REF!</v>
      </c>
      <c r="C263" s="91" t="e">
        <f>'Tab1'!#REF!</f>
        <v>#REF!</v>
      </c>
      <c r="D263" s="91" t="e">
        <f>'Tab1'!#REF!</f>
        <v>#REF!</v>
      </c>
      <c r="E263" s="91" t="e">
        <f>IF('Tab1'!#REF!&lt;0,"",'Tab1'!#REF!)</f>
        <v>#REF!</v>
      </c>
      <c r="F263" s="6" t="e">
        <f>'Tab1'!#REF!</f>
        <v>#REF!</v>
      </c>
      <c r="G263" s="91" t="e">
        <f>1/'Tab1'!#REF!</f>
        <v>#REF!</v>
      </c>
      <c r="H263" s="91" t="e">
        <f>IF(G263="","",'Tab1'!#REF!)</f>
        <v>#REF!</v>
      </c>
      <c r="I263" s="91" t="e">
        <f>IF(H263="","",'Tab1'!#REF!)</f>
        <v>#REF!</v>
      </c>
      <c r="J263" s="91" t="e">
        <f>IF(I263="","",'Tab1'!#REF!)</f>
        <v>#REF!</v>
      </c>
      <c r="K263" s="91" t="e">
        <f>IF(J263="","",'Tab1'!#REF!)</f>
        <v>#REF!</v>
      </c>
      <c r="L263" s="55"/>
      <c r="M263" s="55"/>
      <c r="N263" s="55"/>
      <c r="O263" s="7"/>
      <c r="P263" s="7"/>
      <c r="Q263" s="7"/>
      <c r="R263" s="7"/>
      <c r="S263" s="7"/>
      <c r="T263" s="7"/>
      <c r="U263" s="7"/>
      <c r="V263" s="5"/>
      <c r="W263" s="98"/>
      <c r="X263" s="98"/>
      <c r="Y263" s="98"/>
      <c r="Z263" s="98"/>
    </row>
    <row r="264" spans="1:26" ht="14.25" customHeight="1" x14ac:dyDescent="0.15">
      <c r="A264" s="344" t="e">
        <f>'Tab1'!#REF!</f>
        <v>#REF!</v>
      </c>
      <c r="B264" s="91" t="e">
        <f>IF('Tab1'!#REF!&lt;&gt;"",'Tab1'!#REF!,"")</f>
        <v>#REF!</v>
      </c>
      <c r="C264" s="91" t="e">
        <f>'Tab1'!#REF!</f>
        <v>#REF!</v>
      </c>
      <c r="D264" s="91" t="e">
        <f>'Tab1'!#REF!</f>
        <v>#REF!</v>
      </c>
      <c r="E264" s="91" t="e">
        <f>IF('Tab1'!#REF!&lt;0,"",'Tab1'!#REF!)</f>
        <v>#REF!</v>
      </c>
      <c r="F264" s="6" t="e">
        <f>'Tab1'!#REF!</f>
        <v>#REF!</v>
      </c>
      <c r="G264" s="91" t="e">
        <f>1/'Tab1'!#REF!</f>
        <v>#REF!</v>
      </c>
      <c r="H264" s="91" t="e">
        <f>IF(G264="","",'Tab1'!#REF!)</f>
        <v>#REF!</v>
      </c>
      <c r="I264" s="91" t="e">
        <f>IF(H264="","",'Tab1'!#REF!)</f>
        <v>#REF!</v>
      </c>
      <c r="J264" s="91" t="e">
        <f>IF(I264="","",'Tab1'!#REF!)</f>
        <v>#REF!</v>
      </c>
      <c r="K264" s="91" t="e">
        <f>IF(J264="","",'Tab1'!#REF!)</f>
        <v>#REF!</v>
      </c>
      <c r="L264" s="55"/>
      <c r="M264" s="55"/>
      <c r="N264" s="55"/>
      <c r="O264" s="7"/>
      <c r="P264" s="7"/>
      <c r="Q264" s="7"/>
      <c r="R264" s="7"/>
      <c r="S264" s="7"/>
      <c r="T264" s="7"/>
      <c r="U264" s="7"/>
      <c r="V264" s="5"/>
      <c r="W264" s="98"/>
      <c r="X264" s="98"/>
      <c r="Y264" s="98"/>
      <c r="Z264" s="98"/>
    </row>
    <row r="265" spans="1:26" ht="14.25" customHeight="1" x14ac:dyDescent="0.15">
      <c r="A265" s="344" t="e">
        <f>'Tab1'!#REF!</f>
        <v>#REF!</v>
      </c>
      <c r="B265" s="91" t="e">
        <f>IF('Tab1'!#REF!&lt;&gt;"",'Tab1'!#REF!,"")</f>
        <v>#REF!</v>
      </c>
      <c r="C265" s="91" t="e">
        <f>'Tab1'!#REF!</f>
        <v>#REF!</v>
      </c>
      <c r="D265" s="91" t="e">
        <f>'Tab1'!#REF!</f>
        <v>#REF!</v>
      </c>
      <c r="E265" s="91" t="e">
        <f>IF('Tab1'!#REF!&lt;0,"",'Tab1'!#REF!)</f>
        <v>#REF!</v>
      </c>
      <c r="F265" s="6" t="e">
        <f>'Tab1'!#REF!</f>
        <v>#REF!</v>
      </c>
      <c r="G265" s="91" t="e">
        <f>1/'Tab1'!#REF!</f>
        <v>#REF!</v>
      </c>
      <c r="H265" s="91" t="e">
        <f>IF(G265="","",'Tab1'!#REF!)</f>
        <v>#REF!</v>
      </c>
      <c r="I265" s="91" t="e">
        <f>IF(H265="","",'Tab1'!#REF!)</f>
        <v>#REF!</v>
      </c>
      <c r="J265" s="91" t="e">
        <f>IF(I265="","",'Tab1'!#REF!)</f>
        <v>#REF!</v>
      </c>
      <c r="K265" s="91" t="e">
        <f>IF(J265="","",'Tab1'!#REF!)</f>
        <v>#REF!</v>
      </c>
      <c r="L265" s="55"/>
      <c r="M265" s="55"/>
      <c r="N265" s="55"/>
      <c r="O265" s="7"/>
      <c r="P265" s="7"/>
      <c r="Q265" s="7"/>
      <c r="R265" s="7"/>
      <c r="S265" s="7"/>
      <c r="T265" s="7"/>
      <c r="U265" s="7"/>
      <c r="V265" s="5"/>
      <c r="W265" s="98"/>
      <c r="X265" s="98"/>
      <c r="Y265" s="98"/>
      <c r="Z265" s="98"/>
    </row>
    <row r="266" spans="1:26" ht="14.25" customHeight="1" x14ac:dyDescent="0.15">
      <c r="A266" s="344" t="e">
        <f>'Tab1'!#REF!</f>
        <v>#REF!</v>
      </c>
      <c r="B266" s="91" t="e">
        <f>IF('Tab1'!#REF!&lt;&gt;"",'Tab1'!#REF!,"")</f>
        <v>#REF!</v>
      </c>
      <c r="C266" s="91" t="e">
        <f>'Tab1'!#REF!</f>
        <v>#REF!</v>
      </c>
      <c r="D266" s="91" t="e">
        <f>'Tab1'!#REF!</f>
        <v>#REF!</v>
      </c>
      <c r="E266" s="91" t="e">
        <f>IF('Tab1'!#REF!&lt;0,"",'Tab1'!#REF!)</f>
        <v>#REF!</v>
      </c>
      <c r="F266" s="6" t="e">
        <f>'Tab1'!#REF!</f>
        <v>#REF!</v>
      </c>
      <c r="G266" s="91" t="e">
        <f>1/'Tab1'!#REF!</f>
        <v>#REF!</v>
      </c>
      <c r="H266" s="91" t="e">
        <f>IF(G266="","",'Tab1'!#REF!)</f>
        <v>#REF!</v>
      </c>
      <c r="I266" s="91" t="e">
        <f>IF(H266="","",'Tab1'!#REF!)</f>
        <v>#REF!</v>
      </c>
      <c r="J266" s="91" t="e">
        <f>IF(I266="","",'Tab1'!#REF!)</f>
        <v>#REF!</v>
      </c>
      <c r="K266" s="91" t="e">
        <f>IF(J266="","",'Tab1'!#REF!)</f>
        <v>#REF!</v>
      </c>
      <c r="L266" s="55"/>
      <c r="M266" s="55"/>
      <c r="N266" s="55"/>
      <c r="O266" s="7"/>
      <c r="P266" s="7"/>
      <c r="Q266" s="7"/>
      <c r="R266" s="7"/>
      <c r="S266" s="7"/>
      <c r="T266" s="7"/>
      <c r="U266" s="7"/>
      <c r="V266" s="5"/>
      <c r="W266" s="98"/>
      <c r="X266" s="98"/>
      <c r="Y266" s="98"/>
      <c r="Z266" s="98"/>
    </row>
    <row r="267" spans="1:26" ht="14.25" customHeight="1" x14ac:dyDescent="0.15">
      <c r="A267" s="344" t="e">
        <f>'Tab1'!#REF!</f>
        <v>#REF!</v>
      </c>
      <c r="B267" s="91" t="e">
        <f>IF('Tab1'!#REF!&lt;&gt;"",'Tab1'!#REF!,"")</f>
        <v>#REF!</v>
      </c>
      <c r="C267" s="91" t="e">
        <f>'Tab1'!#REF!</f>
        <v>#REF!</v>
      </c>
      <c r="D267" s="91" t="e">
        <f>'Tab1'!#REF!</f>
        <v>#REF!</v>
      </c>
      <c r="E267" s="91" t="e">
        <f>IF('Tab1'!#REF!&lt;0,"",'Tab1'!#REF!)</f>
        <v>#REF!</v>
      </c>
      <c r="F267" s="6" t="e">
        <f>'Tab1'!#REF!</f>
        <v>#REF!</v>
      </c>
      <c r="G267" s="91" t="e">
        <f>1/'Tab1'!#REF!</f>
        <v>#REF!</v>
      </c>
      <c r="H267" s="91" t="e">
        <f>IF(G267="","",'Tab1'!#REF!)</f>
        <v>#REF!</v>
      </c>
      <c r="I267" s="91" t="e">
        <f>IF(H267="","",'Tab1'!#REF!)</f>
        <v>#REF!</v>
      </c>
      <c r="J267" s="91" t="e">
        <f>IF(I267="","",'Tab1'!#REF!)</f>
        <v>#REF!</v>
      </c>
      <c r="K267" s="91" t="e">
        <f>IF(J267="","",'Tab1'!#REF!)</f>
        <v>#REF!</v>
      </c>
      <c r="L267" s="55"/>
      <c r="M267" s="55"/>
      <c r="N267" s="55"/>
      <c r="O267" s="7"/>
      <c r="P267" s="7"/>
      <c r="Q267" s="7"/>
      <c r="R267" s="7"/>
      <c r="S267" s="7"/>
      <c r="T267" s="7"/>
      <c r="U267" s="7"/>
      <c r="V267" s="5"/>
      <c r="W267" s="98"/>
      <c r="X267" s="98"/>
      <c r="Y267" s="98"/>
      <c r="Z267" s="98"/>
    </row>
    <row r="268" spans="1:26" ht="14.25" customHeight="1" x14ac:dyDescent="0.15">
      <c r="A268" s="344" t="e">
        <f>'Tab1'!#REF!</f>
        <v>#REF!</v>
      </c>
      <c r="B268" s="91" t="e">
        <f>IF('Tab1'!#REF!&lt;&gt;"",'Tab1'!#REF!,"")</f>
        <v>#REF!</v>
      </c>
      <c r="C268" s="91" t="e">
        <f>'Tab1'!#REF!</f>
        <v>#REF!</v>
      </c>
      <c r="D268" s="91" t="e">
        <f>'Tab1'!#REF!</f>
        <v>#REF!</v>
      </c>
      <c r="E268" s="91" t="e">
        <f>IF('Tab1'!#REF!&lt;0,"",'Tab1'!#REF!)</f>
        <v>#REF!</v>
      </c>
      <c r="F268" s="6" t="e">
        <f>'Tab1'!#REF!</f>
        <v>#REF!</v>
      </c>
      <c r="G268" s="91" t="e">
        <f>1/'Tab1'!#REF!</f>
        <v>#REF!</v>
      </c>
      <c r="H268" s="91" t="e">
        <f>IF(G268="","",'Tab1'!#REF!)</f>
        <v>#REF!</v>
      </c>
      <c r="I268" s="91" t="e">
        <f>IF(H268="","",'Tab1'!#REF!)</f>
        <v>#REF!</v>
      </c>
      <c r="J268" s="91" t="e">
        <f>IF(I268="","",'Tab1'!#REF!)</f>
        <v>#REF!</v>
      </c>
      <c r="K268" s="91" t="e">
        <f>IF(J268="","",'Tab1'!#REF!)</f>
        <v>#REF!</v>
      </c>
      <c r="L268" s="55"/>
      <c r="M268" s="55"/>
      <c r="N268" s="55"/>
      <c r="O268" s="7"/>
      <c r="P268" s="7"/>
      <c r="Q268" s="7"/>
      <c r="R268" s="7"/>
      <c r="S268" s="7"/>
      <c r="T268" s="7"/>
      <c r="U268" s="7"/>
      <c r="V268" s="5"/>
      <c r="W268" s="98"/>
      <c r="X268" s="98"/>
      <c r="Y268" s="98"/>
      <c r="Z268" s="98"/>
    </row>
    <row r="269" spans="1:26" ht="14.25" customHeight="1" x14ac:dyDescent="0.15">
      <c r="A269" s="344" t="e">
        <f>'Tab1'!#REF!</f>
        <v>#REF!</v>
      </c>
      <c r="B269" s="91" t="e">
        <f>IF('Tab1'!#REF!&lt;&gt;"",'Tab1'!#REF!,"")</f>
        <v>#REF!</v>
      </c>
      <c r="C269" s="91" t="e">
        <f>'Tab1'!#REF!</f>
        <v>#REF!</v>
      </c>
      <c r="D269" s="91" t="e">
        <f>'Tab1'!#REF!</f>
        <v>#REF!</v>
      </c>
      <c r="E269" s="91" t="e">
        <f>IF('Tab1'!#REF!&lt;0,"",'Tab1'!#REF!)</f>
        <v>#REF!</v>
      </c>
      <c r="F269" s="6" t="e">
        <f>'Tab1'!#REF!</f>
        <v>#REF!</v>
      </c>
      <c r="G269" s="91" t="e">
        <f>1/'Tab1'!#REF!</f>
        <v>#REF!</v>
      </c>
      <c r="H269" s="91" t="e">
        <f>IF(G269="","",'Tab1'!#REF!)</f>
        <v>#REF!</v>
      </c>
      <c r="I269" s="91" t="e">
        <f>IF(H269="","",'Tab1'!#REF!)</f>
        <v>#REF!</v>
      </c>
      <c r="J269" s="91" t="e">
        <f>IF(I269="","",'Tab1'!#REF!)</f>
        <v>#REF!</v>
      </c>
      <c r="K269" s="91" t="e">
        <f>IF(J269="","",'Tab1'!#REF!)</f>
        <v>#REF!</v>
      </c>
      <c r="L269" s="55"/>
      <c r="M269" s="55"/>
      <c r="N269" s="55"/>
      <c r="O269" s="7"/>
      <c r="P269" s="7"/>
      <c r="Q269" s="7"/>
      <c r="R269" s="7"/>
      <c r="S269" s="7"/>
      <c r="T269" s="7"/>
      <c r="U269" s="7"/>
      <c r="V269" s="5"/>
      <c r="W269" s="98"/>
      <c r="X269" s="98"/>
      <c r="Y269" s="98"/>
      <c r="Z269" s="98"/>
    </row>
    <row r="270" spans="1:26" ht="14.25" customHeight="1" x14ac:dyDescent="0.15">
      <c r="A270" s="344" t="e">
        <f>'Tab1'!#REF!</f>
        <v>#REF!</v>
      </c>
      <c r="B270" s="91" t="e">
        <f>IF('Tab1'!#REF!&lt;&gt;"",'Tab1'!#REF!,"")</f>
        <v>#REF!</v>
      </c>
      <c r="C270" s="91" t="e">
        <f>'Tab1'!#REF!</f>
        <v>#REF!</v>
      </c>
      <c r="D270" s="91" t="e">
        <f>'Tab1'!#REF!</f>
        <v>#REF!</v>
      </c>
      <c r="E270" s="91" t="e">
        <f>IF('Tab1'!#REF!&lt;0,"",'Tab1'!#REF!)</f>
        <v>#REF!</v>
      </c>
      <c r="F270" s="6" t="e">
        <f>'Tab1'!#REF!</f>
        <v>#REF!</v>
      </c>
      <c r="G270" s="91" t="e">
        <f>1/'Tab1'!#REF!</f>
        <v>#REF!</v>
      </c>
      <c r="H270" s="91" t="e">
        <f>IF(G270="","",'Tab1'!#REF!)</f>
        <v>#REF!</v>
      </c>
      <c r="I270" s="91" t="e">
        <f>IF(H270="","",'Tab1'!#REF!)</f>
        <v>#REF!</v>
      </c>
      <c r="J270" s="91" t="e">
        <f>IF(I270="","",'Tab1'!#REF!)</f>
        <v>#REF!</v>
      </c>
      <c r="K270" s="91" t="e">
        <f>IF(J270="","",'Tab1'!#REF!)</f>
        <v>#REF!</v>
      </c>
      <c r="L270" s="55"/>
      <c r="M270" s="55"/>
      <c r="N270" s="55"/>
      <c r="O270" s="7"/>
      <c r="P270" s="7"/>
      <c r="Q270" s="7"/>
      <c r="R270" s="7"/>
      <c r="S270" s="7"/>
      <c r="T270" s="7"/>
      <c r="U270" s="7"/>
      <c r="V270" s="5"/>
      <c r="W270" s="98"/>
      <c r="X270" s="98"/>
      <c r="Y270" s="98"/>
      <c r="Z270" s="98"/>
    </row>
    <row r="271" spans="1:26" ht="14.25" customHeight="1" x14ac:dyDescent="0.15">
      <c r="A271" s="344" t="e">
        <f>'Tab1'!#REF!</f>
        <v>#REF!</v>
      </c>
      <c r="B271" s="91" t="e">
        <f>IF('Tab1'!#REF!&lt;&gt;"",'Tab1'!#REF!,"")</f>
        <v>#REF!</v>
      </c>
      <c r="C271" s="91" t="e">
        <f>'Tab1'!#REF!</f>
        <v>#REF!</v>
      </c>
      <c r="D271" s="91" t="e">
        <f>'Tab1'!#REF!</f>
        <v>#REF!</v>
      </c>
      <c r="E271" s="91" t="e">
        <f>IF('Tab1'!#REF!&lt;0,"",'Tab1'!#REF!)</f>
        <v>#REF!</v>
      </c>
      <c r="F271" s="6" t="e">
        <f>'Tab1'!#REF!</f>
        <v>#REF!</v>
      </c>
      <c r="G271" s="91" t="e">
        <f>1/'Tab1'!#REF!</f>
        <v>#REF!</v>
      </c>
      <c r="H271" s="91" t="e">
        <f>IF(G271="","",'Tab1'!#REF!)</f>
        <v>#REF!</v>
      </c>
      <c r="I271" s="91" t="e">
        <f>IF(H271="","",'Tab1'!#REF!)</f>
        <v>#REF!</v>
      </c>
      <c r="J271" s="91" t="e">
        <f>IF(I271="","",'Tab1'!#REF!)</f>
        <v>#REF!</v>
      </c>
      <c r="K271" s="91" t="e">
        <f>IF(J271="","",'Tab1'!#REF!)</f>
        <v>#REF!</v>
      </c>
      <c r="L271" s="55"/>
      <c r="M271" s="55"/>
      <c r="N271" s="55"/>
      <c r="O271" s="7"/>
      <c r="P271" s="7"/>
      <c r="Q271" s="7"/>
      <c r="R271" s="7"/>
      <c r="S271" s="7"/>
      <c r="T271" s="7"/>
      <c r="U271" s="7"/>
      <c r="V271" s="5"/>
      <c r="W271" s="98"/>
      <c r="X271" s="98"/>
      <c r="Y271" s="98"/>
      <c r="Z271" s="98"/>
    </row>
    <row r="272" spans="1:26" ht="14.25" customHeight="1" x14ac:dyDescent="0.15">
      <c r="A272" s="344" t="e">
        <f>'Tab1'!#REF!</f>
        <v>#REF!</v>
      </c>
      <c r="B272" s="91" t="e">
        <f>IF('Tab1'!#REF!&lt;&gt;"",'Tab1'!#REF!,"")</f>
        <v>#REF!</v>
      </c>
      <c r="C272" s="91" t="e">
        <f>'Tab1'!#REF!</f>
        <v>#REF!</v>
      </c>
      <c r="D272" s="91" t="e">
        <f>'Tab1'!#REF!</f>
        <v>#REF!</v>
      </c>
      <c r="E272" s="91" t="e">
        <f>IF('Tab1'!#REF!&lt;0,"",'Tab1'!#REF!)</f>
        <v>#REF!</v>
      </c>
      <c r="F272" s="6" t="e">
        <f>'Tab1'!#REF!</f>
        <v>#REF!</v>
      </c>
      <c r="G272" s="91" t="e">
        <f>1/'Tab1'!#REF!</f>
        <v>#REF!</v>
      </c>
      <c r="H272" s="91" t="e">
        <f>IF(G272="","",'Tab1'!#REF!)</f>
        <v>#REF!</v>
      </c>
      <c r="I272" s="91" t="e">
        <f>IF(H272="","",'Tab1'!#REF!)</f>
        <v>#REF!</v>
      </c>
      <c r="J272" s="91" t="e">
        <f>IF(I272="","",'Tab1'!#REF!)</f>
        <v>#REF!</v>
      </c>
      <c r="K272" s="91" t="e">
        <f>IF(J272="","",'Tab1'!#REF!)</f>
        <v>#REF!</v>
      </c>
      <c r="L272" s="55"/>
      <c r="M272" s="55"/>
      <c r="N272" s="55"/>
      <c r="O272" s="7"/>
      <c r="P272" s="7"/>
      <c r="Q272" s="7"/>
      <c r="R272" s="7"/>
      <c r="S272" s="7"/>
      <c r="T272" s="7"/>
      <c r="U272" s="7"/>
      <c r="V272" s="5"/>
      <c r="W272" s="98"/>
      <c r="X272" s="98"/>
      <c r="Y272" s="98"/>
      <c r="Z272" s="98"/>
    </row>
    <row r="273" spans="1:26" ht="14.25" customHeight="1" x14ac:dyDescent="0.15">
      <c r="A273" s="344" t="e">
        <f>'Tab1'!#REF!</f>
        <v>#REF!</v>
      </c>
      <c r="B273" s="91" t="e">
        <f>IF('Tab1'!#REF!&lt;&gt;"",'Tab1'!#REF!,"")</f>
        <v>#REF!</v>
      </c>
      <c r="C273" s="91" t="e">
        <f>'Tab1'!#REF!</f>
        <v>#REF!</v>
      </c>
      <c r="D273" s="91" t="e">
        <f>'Tab1'!#REF!</f>
        <v>#REF!</v>
      </c>
      <c r="E273" s="91" t="e">
        <f>IF('Tab1'!#REF!&lt;0,"",'Tab1'!#REF!)</f>
        <v>#REF!</v>
      </c>
      <c r="F273" s="6" t="e">
        <f>'Tab1'!#REF!</f>
        <v>#REF!</v>
      </c>
      <c r="G273" s="91" t="e">
        <f>1/'Tab1'!#REF!</f>
        <v>#REF!</v>
      </c>
      <c r="H273" s="91" t="e">
        <f>IF(G273="","",'Tab1'!#REF!)</f>
        <v>#REF!</v>
      </c>
      <c r="I273" s="91" t="e">
        <f>IF(H273="","",'Tab1'!#REF!)</f>
        <v>#REF!</v>
      </c>
      <c r="J273" s="91" t="e">
        <f>IF(I273="","",'Tab1'!#REF!)</f>
        <v>#REF!</v>
      </c>
      <c r="K273" s="91" t="e">
        <f>IF(J273="","",'Tab1'!#REF!)</f>
        <v>#REF!</v>
      </c>
      <c r="L273" s="55"/>
      <c r="M273" s="55"/>
      <c r="N273" s="55"/>
      <c r="O273" s="7"/>
      <c r="P273" s="7"/>
      <c r="Q273" s="7"/>
      <c r="R273" s="7"/>
      <c r="S273" s="7"/>
      <c r="T273" s="7"/>
      <c r="U273" s="7"/>
      <c r="V273" s="5"/>
      <c r="W273" s="98"/>
      <c r="X273" s="98"/>
      <c r="Y273" s="98"/>
      <c r="Z273" s="98"/>
    </row>
    <row r="274" spans="1:26" ht="14.25" customHeight="1" x14ac:dyDescent="0.15">
      <c r="A274" s="344" t="e">
        <f>'Tab1'!#REF!</f>
        <v>#REF!</v>
      </c>
      <c r="B274" s="91" t="e">
        <f>IF('Tab1'!#REF!&lt;&gt;"",'Tab1'!#REF!,"")</f>
        <v>#REF!</v>
      </c>
      <c r="C274" s="91" t="e">
        <f>'Tab1'!#REF!</f>
        <v>#REF!</v>
      </c>
      <c r="D274" s="91" t="e">
        <f>'Tab1'!#REF!</f>
        <v>#REF!</v>
      </c>
      <c r="E274" s="91" t="e">
        <f>IF('Tab1'!#REF!&lt;0,"",'Tab1'!#REF!)</f>
        <v>#REF!</v>
      </c>
      <c r="F274" s="6" t="e">
        <f>'Tab1'!#REF!</f>
        <v>#REF!</v>
      </c>
      <c r="G274" s="91" t="e">
        <f>1/'Tab1'!#REF!</f>
        <v>#REF!</v>
      </c>
      <c r="H274" s="91" t="e">
        <f>IF(G274="","",'Tab1'!#REF!)</f>
        <v>#REF!</v>
      </c>
      <c r="I274" s="91" t="e">
        <f>IF(H274="","",'Tab1'!#REF!)</f>
        <v>#REF!</v>
      </c>
      <c r="J274" s="91" t="e">
        <f>IF(I274="","",'Tab1'!#REF!)</f>
        <v>#REF!</v>
      </c>
      <c r="K274" s="91" t="e">
        <f>IF(J274="","",'Tab1'!#REF!)</f>
        <v>#REF!</v>
      </c>
      <c r="L274" s="55"/>
      <c r="M274" s="55"/>
      <c r="N274" s="55"/>
      <c r="O274" s="7"/>
      <c r="P274" s="7"/>
      <c r="Q274" s="7"/>
      <c r="R274" s="7"/>
      <c r="S274" s="7"/>
      <c r="T274" s="7"/>
      <c r="U274" s="7"/>
      <c r="V274" s="5"/>
      <c r="W274" s="98"/>
      <c r="X274" s="98"/>
      <c r="Y274" s="98"/>
      <c r="Z274" s="98"/>
    </row>
    <row r="275" spans="1:26" ht="14.25" customHeight="1" x14ac:dyDescent="0.15">
      <c r="A275" s="344" t="e">
        <f>'Tab1'!#REF!</f>
        <v>#REF!</v>
      </c>
      <c r="B275" s="91" t="e">
        <f>IF('Tab1'!#REF!&lt;&gt;"",'Tab1'!#REF!,"")</f>
        <v>#REF!</v>
      </c>
      <c r="C275" s="91" t="e">
        <f>'Tab1'!#REF!</f>
        <v>#REF!</v>
      </c>
      <c r="D275" s="91" t="e">
        <f>'Tab1'!#REF!</f>
        <v>#REF!</v>
      </c>
      <c r="E275" s="91" t="e">
        <f>IF('Tab1'!#REF!&lt;0,"",'Tab1'!#REF!)</f>
        <v>#REF!</v>
      </c>
      <c r="F275" s="6" t="e">
        <f>'Tab1'!#REF!</f>
        <v>#REF!</v>
      </c>
      <c r="G275" s="91" t="e">
        <f>1/'Tab1'!#REF!</f>
        <v>#REF!</v>
      </c>
      <c r="H275" s="91" t="e">
        <f>IF(G275="","",'Tab1'!#REF!)</f>
        <v>#REF!</v>
      </c>
      <c r="I275" s="91" t="e">
        <f>IF(H275="","",'Tab1'!#REF!)</f>
        <v>#REF!</v>
      </c>
      <c r="J275" s="91" t="e">
        <f>IF(I275="","",'Tab1'!#REF!)</f>
        <v>#REF!</v>
      </c>
      <c r="K275" s="91" t="e">
        <f>IF(J275="","",'Tab1'!#REF!)</f>
        <v>#REF!</v>
      </c>
      <c r="L275" s="55"/>
      <c r="M275" s="55"/>
      <c r="N275" s="55"/>
      <c r="O275" s="7"/>
      <c r="P275" s="7"/>
      <c r="Q275" s="7"/>
      <c r="R275" s="7"/>
      <c r="S275" s="7"/>
      <c r="T275" s="7"/>
      <c r="U275" s="7"/>
      <c r="V275" s="5"/>
      <c r="W275" s="98"/>
      <c r="X275" s="98"/>
      <c r="Y275" s="98"/>
      <c r="Z275" s="98"/>
    </row>
    <row r="276" spans="1:26" ht="14.25" customHeight="1" x14ac:dyDescent="0.15">
      <c r="A276" s="344" t="e">
        <f>'Tab1'!#REF!</f>
        <v>#REF!</v>
      </c>
      <c r="B276" s="91" t="e">
        <f>IF('Tab1'!#REF!&lt;&gt;"",'Tab1'!#REF!,"")</f>
        <v>#REF!</v>
      </c>
      <c r="C276" s="91" t="e">
        <f>'Tab1'!#REF!</f>
        <v>#REF!</v>
      </c>
      <c r="D276" s="91" t="e">
        <f>'Tab1'!#REF!</f>
        <v>#REF!</v>
      </c>
      <c r="E276" s="91" t="e">
        <f>IF('Tab1'!#REF!&lt;0,"",'Tab1'!#REF!)</f>
        <v>#REF!</v>
      </c>
      <c r="F276" s="6" t="e">
        <f>'Tab1'!#REF!</f>
        <v>#REF!</v>
      </c>
      <c r="G276" s="91" t="e">
        <f>1/'Tab1'!#REF!</f>
        <v>#REF!</v>
      </c>
      <c r="H276" s="91" t="e">
        <f>IF(G276="","",'Tab1'!#REF!)</f>
        <v>#REF!</v>
      </c>
      <c r="I276" s="91" t="e">
        <f>IF(H276="","",'Tab1'!#REF!)</f>
        <v>#REF!</v>
      </c>
      <c r="J276" s="91" t="e">
        <f>IF(I276="","",'Tab1'!#REF!)</f>
        <v>#REF!</v>
      </c>
      <c r="K276" s="91" t="e">
        <f>IF(J276="","",'Tab1'!#REF!)</f>
        <v>#REF!</v>
      </c>
      <c r="L276" s="55"/>
      <c r="M276" s="55"/>
      <c r="N276" s="55"/>
      <c r="O276" s="7"/>
      <c r="P276" s="7"/>
      <c r="Q276" s="7"/>
      <c r="R276" s="7"/>
      <c r="S276" s="7"/>
      <c r="T276" s="7"/>
      <c r="U276" s="7"/>
      <c r="V276" s="5"/>
      <c r="W276" s="98"/>
      <c r="X276" s="98"/>
      <c r="Y276" s="98"/>
      <c r="Z276" s="98"/>
    </row>
    <row r="277" spans="1:26" ht="14.25" customHeight="1" x14ac:dyDescent="0.15">
      <c r="A277" s="344" t="e">
        <f>'Tab1'!#REF!</f>
        <v>#REF!</v>
      </c>
      <c r="B277" s="91" t="e">
        <f>IF('Tab1'!#REF!&lt;&gt;"",'Tab1'!#REF!,"")</f>
        <v>#REF!</v>
      </c>
      <c r="C277" s="91" t="e">
        <f>'Tab1'!#REF!</f>
        <v>#REF!</v>
      </c>
      <c r="D277" s="91" t="e">
        <f>'Tab1'!#REF!</f>
        <v>#REF!</v>
      </c>
      <c r="E277" s="91" t="e">
        <f>IF('Tab1'!#REF!&lt;0,"",'Tab1'!#REF!)</f>
        <v>#REF!</v>
      </c>
      <c r="F277" s="6" t="e">
        <f>'Tab1'!#REF!</f>
        <v>#REF!</v>
      </c>
      <c r="G277" s="91" t="e">
        <f>1/'Tab1'!#REF!</f>
        <v>#REF!</v>
      </c>
      <c r="H277" s="91" t="e">
        <f>IF(G277="","",'Tab1'!#REF!)</f>
        <v>#REF!</v>
      </c>
      <c r="I277" s="91" t="e">
        <f>IF(H277="","",'Tab1'!#REF!)</f>
        <v>#REF!</v>
      </c>
      <c r="J277" s="91" t="e">
        <f>IF(I277="","",'Tab1'!#REF!)</f>
        <v>#REF!</v>
      </c>
      <c r="K277" s="91" t="e">
        <f>IF(J277="","",'Tab1'!#REF!)</f>
        <v>#REF!</v>
      </c>
      <c r="L277" s="55"/>
      <c r="M277" s="55"/>
      <c r="N277" s="55"/>
      <c r="O277" s="7"/>
      <c r="P277" s="7"/>
      <c r="Q277" s="7"/>
      <c r="R277" s="7"/>
      <c r="S277" s="7"/>
      <c r="T277" s="7"/>
      <c r="U277" s="7"/>
      <c r="V277" s="5"/>
      <c r="W277" s="98"/>
      <c r="X277" s="98"/>
      <c r="Y277" s="98"/>
      <c r="Z277" s="98"/>
    </row>
    <row r="278" spans="1:26" ht="14.25" customHeight="1" x14ac:dyDescent="0.15">
      <c r="A278" s="344" t="e">
        <f>'Tab1'!#REF!</f>
        <v>#REF!</v>
      </c>
      <c r="B278" s="91" t="e">
        <f>IF('Tab1'!#REF!&lt;&gt;"",'Tab1'!#REF!,"")</f>
        <v>#REF!</v>
      </c>
      <c r="C278" s="91" t="e">
        <f>'Tab1'!#REF!</f>
        <v>#REF!</v>
      </c>
      <c r="D278" s="91" t="e">
        <f>'Tab1'!#REF!</f>
        <v>#REF!</v>
      </c>
      <c r="E278" s="91" t="e">
        <f>IF('Tab1'!#REF!&lt;0,"",'Tab1'!#REF!)</f>
        <v>#REF!</v>
      </c>
      <c r="F278" s="6" t="e">
        <f>'Tab1'!#REF!</f>
        <v>#REF!</v>
      </c>
      <c r="G278" s="91" t="e">
        <f>1/'Tab1'!#REF!</f>
        <v>#REF!</v>
      </c>
      <c r="H278" s="91" t="e">
        <f>IF(G278="","",'Tab1'!#REF!)</f>
        <v>#REF!</v>
      </c>
      <c r="I278" s="91" t="e">
        <f>IF(H278="","",'Tab1'!#REF!)</f>
        <v>#REF!</v>
      </c>
      <c r="J278" s="91" t="e">
        <f>IF(I278="","",'Tab1'!#REF!)</f>
        <v>#REF!</v>
      </c>
      <c r="K278" s="91" t="e">
        <f>IF(J278="","",'Tab1'!#REF!)</f>
        <v>#REF!</v>
      </c>
      <c r="L278" s="55"/>
      <c r="M278" s="55"/>
      <c r="N278" s="55"/>
      <c r="O278" s="7"/>
      <c r="P278" s="7"/>
      <c r="Q278" s="7"/>
      <c r="R278" s="7"/>
      <c r="S278" s="7"/>
      <c r="T278" s="7"/>
      <c r="U278" s="7"/>
      <c r="V278" s="5"/>
      <c r="W278" s="98"/>
      <c r="X278" s="98"/>
      <c r="Y278" s="98"/>
      <c r="Z278" s="98"/>
    </row>
    <row r="279" spans="1:26" ht="14.25" customHeight="1" x14ac:dyDescent="0.15">
      <c r="A279" s="344" t="e">
        <f>'Tab1'!#REF!</f>
        <v>#REF!</v>
      </c>
      <c r="B279" s="91" t="e">
        <f>IF('Tab1'!#REF!&lt;&gt;"",'Tab1'!#REF!,"")</f>
        <v>#REF!</v>
      </c>
      <c r="C279" s="91" t="e">
        <f>'Tab1'!#REF!</f>
        <v>#REF!</v>
      </c>
      <c r="D279" s="91" t="e">
        <f>'Tab1'!#REF!</f>
        <v>#REF!</v>
      </c>
      <c r="E279" s="91" t="e">
        <f>IF('Tab1'!#REF!&lt;0,"",'Tab1'!#REF!)</f>
        <v>#REF!</v>
      </c>
      <c r="F279" s="6" t="e">
        <f>'Tab1'!#REF!</f>
        <v>#REF!</v>
      </c>
      <c r="G279" s="91" t="e">
        <f>1/'Tab1'!#REF!</f>
        <v>#REF!</v>
      </c>
      <c r="H279" s="91" t="e">
        <f>IF(G279="","",'Tab1'!#REF!)</f>
        <v>#REF!</v>
      </c>
      <c r="I279" s="91" t="e">
        <f>IF(H279="","",'Tab1'!#REF!)</f>
        <v>#REF!</v>
      </c>
      <c r="J279" s="91" t="e">
        <f>IF(I279="","",'Tab1'!#REF!)</f>
        <v>#REF!</v>
      </c>
      <c r="K279" s="91" t="e">
        <f>IF(J279="","",'Tab1'!#REF!)</f>
        <v>#REF!</v>
      </c>
      <c r="L279" s="55"/>
      <c r="M279" s="55"/>
      <c r="N279" s="55"/>
      <c r="O279" s="7"/>
      <c r="P279" s="7"/>
      <c r="Q279" s="7"/>
      <c r="R279" s="7"/>
      <c r="S279" s="7"/>
      <c r="T279" s="7"/>
      <c r="U279" s="7"/>
      <c r="V279" s="5"/>
      <c r="W279" s="98"/>
      <c r="X279" s="98"/>
      <c r="Y279" s="98"/>
      <c r="Z279" s="98"/>
    </row>
    <row r="280" spans="1:26" ht="14.25" customHeight="1" x14ac:dyDescent="0.15">
      <c r="A280" s="344" t="e">
        <f>'Tab1'!#REF!</f>
        <v>#REF!</v>
      </c>
      <c r="B280" s="91" t="e">
        <f>IF('Tab1'!#REF!&lt;&gt;"",'Tab1'!#REF!,"")</f>
        <v>#REF!</v>
      </c>
      <c r="C280" s="91" t="e">
        <f>'Tab1'!#REF!</f>
        <v>#REF!</v>
      </c>
      <c r="D280" s="91" t="e">
        <f>'Tab1'!#REF!</f>
        <v>#REF!</v>
      </c>
      <c r="E280" s="91" t="e">
        <f>IF('Tab1'!#REF!&lt;0,"",'Tab1'!#REF!)</f>
        <v>#REF!</v>
      </c>
      <c r="F280" s="6" t="e">
        <f>'Tab1'!#REF!</f>
        <v>#REF!</v>
      </c>
      <c r="G280" s="91" t="e">
        <f>1/'Tab1'!#REF!</f>
        <v>#REF!</v>
      </c>
      <c r="H280" s="91" t="e">
        <f>IF(G280="","",'Tab1'!#REF!)</f>
        <v>#REF!</v>
      </c>
      <c r="I280" s="91" t="e">
        <f>IF(H280="","",'Tab1'!#REF!)</f>
        <v>#REF!</v>
      </c>
      <c r="J280" s="91" t="e">
        <f>IF(I280="","",'Tab1'!#REF!)</f>
        <v>#REF!</v>
      </c>
      <c r="K280" s="91" t="e">
        <f>IF(J280="","",'Tab1'!#REF!)</f>
        <v>#REF!</v>
      </c>
      <c r="L280" s="55"/>
      <c r="M280" s="55"/>
      <c r="N280" s="55"/>
      <c r="O280" s="7"/>
      <c r="P280" s="7"/>
      <c r="Q280" s="7"/>
      <c r="R280" s="7"/>
      <c r="S280" s="7"/>
      <c r="T280" s="7"/>
      <c r="U280" s="7"/>
      <c r="V280" s="5"/>
      <c r="W280" s="98"/>
      <c r="X280" s="98"/>
      <c r="Y280" s="98"/>
      <c r="Z280" s="98"/>
    </row>
    <row r="281" spans="1:26" ht="14.25" customHeight="1" x14ac:dyDescent="0.15">
      <c r="A281" s="344" t="e">
        <f>'Tab1'!#REF!</f>
        <v>#REF!</v>
      </c>
      <c r="B281" s="91" t="e">
        <f>IF('Tab1'!#REF!&lt;&gt;"",'Tab1'!#REF!,"")</f>
        <v>#REF!</v>
      </c>
      <c r="C281" s="91" t="e">
        <f>'Tab1'!#REF!</f>
        <v>#REF!</v>
      </c>
      <c r="D281" s="91" t="e">
        <f>'Tab1'!#REF!</f>
        <v>#REF!</v>
      </c>
      <c r="E281" s="91" t="e">
        <f>IF('Tab1'!#REF!&lt;0,"",'Tab1'!#REF!)</f>
        <v>#REF!</v>
      </c>
      <c r="F281" s="6" t="e">
        <f>'Tab1'!#REF!</f>
        <v>#REF!</v>
      </c>
      <c r="G281" s="91" t="e">
        <f>1/'Tab1'!#REF!</f>
        <v>#REF!</v>
      </c>
      <c r="H281" s="91" t="e">
        <f>IF(G281="","",'Tab1'!#REF!)</f>
        <v>#REF!</v>
      </c>
      <c r="I281" s="91" t="e">
        <f>IF(H281="","",'Tab1'!#REF!)</f>
        <v>#REF!</v>
      </c>
      <c r="J281" s="91" t="e">
        <f>IF(I281="","",'Tab1'!#REF!)</f>
        <v>#REF!</v>
      </c>
      <c r="K281" s="91" t="e">
        <f>IF(J281="","",'Tab1'!#REF!)</f>
        <v>#REF!</v>
      </c>
      <c r="L281" s="55"/>
      <c r="M281" s="55"/>
      <c r="N281" s="55"/>
      <c r="O281" s="7"/>
      <c r="P281" s="7"/>
      <c r="Q281" s="7"/>
      <c r="R281" s="7"/>
      <c r="S281" s="7"/>
      <c r="T281" s="7"/>
      <c r="U281" s="7"/>
      <c r="V281" s="5"/>
      <c r="W281" s="98"/>
      <c r="X281" s="98"/>
      <c r="Y281" s="98"/>
      <c r="Z281" s="98"/>
    </row>
    <row r="282" spans="1:26" ht="14.25" customHeight="1" x14ac:dyDescent="0.15">
      <c r="A282" s="344" t="e">
        <f>'Tab1'!#REF!</f>
        <v>#REF!</v>
      </c>
      <c r="B282" s="91" t="e">
        <f>IF('Tab1'!#REF!&lt;&gt;"",'Tab1'!#REF!,"")</f>
        <v>#REF!</v>
      </c>
      <c r="C282" s="91" t="e">
        <f>'Tab1'!#REF!</f>
        <v>#REF!</v>
      </c>
      <c r="D282" s="91" t="e">
        <f>'Tab1'!#REF!</f>
        <v>#REF!</v>
      </c>
      <c r="E282" s="91" t="e">
        <f>IF('Tab1'!#REF!&lt;0,"",'Tab1'!#REF!)</f>
        <v>#REF!</v>
      </c>
      <c r="F282" s="6" t="e">
        <f>'Tab1'!#REF!</f>
        <v>#REF!</v>
      </c>
      <c r="G282" s="91" t="e">
        <f>1/'Tab1'!#REF!</f>
        <v>#REF!</v>
      </c>
      <c r="H282" s="91" t="e">
        <f>IF(G282="","",'Tab1'!#REF!)</f>
        <v>#REF!</v>
      </c>
      <c r="I282" s="91" t="e">
        <f>IF(H282="","",'Tab1'!#REF!)</f>
        <v>#REF!</v>
      </c>
      <c r="J282" s="91" t="e">
        <f>IF(I282="","",'Tab1'!#REF!)</f>
        <v>#REF!</v>
      </c>
      <c r="K282" s="91" t="e">
        <f>IF(J282="","",'Tab1'!#REF!)</f>
        <v>#REF!</v>
      </c>
      <c r="L282" s="55"/>
      <c r="M282" s="55"/>
      <c r="N282" s="55"/>
      <c r="O282" s="7"/>
      <c r="P282" s="7"/>
      <c r="Q282" s="7"/>
      <c r="R282" s="7"/>
      <c r="S282" s="7"/>
      <c r="T282" s="7"/>
      <c r="U282" s="7"/>
      <c r="V282" s="5"/>
      <c r="W282" s="98"/>
      <c r="X282" s="98"/>
      <c r="Y282" s="98"/>
      <c r="Z282" s="98"/>
    </row>
    <row r="283" spans="1:26" ht="14.25" customHeight="1" x14ac:dyDescent="0.15">
      <c r="A283" s="344" t="e">
        <f>'Tab1'!#REF!</f>
        <v>#REF!</v>
      </c>
      <c r="B283" s="91" t="e">
        <f>IF('Tab1'!#REF!&lt;&gt;"",'Tab1'!#REF!,"")</f>
        <v>#REF!</v>
      </c>
      <c r="C283" s="91" t="e">
        <f>'Tab1'!#REF!</f>
        <v>#REF!</v>
      </c>
      <c r="D283" s="91" t="e">
        <f>'Tab1'!#REF!</f>
        <v>#REF!</v>
      </c>
      <c r="E283" s="91" t="e">
        <f>IF('Tab1'!#REF!&lt;0,"",'Tab1'!#REF!)</f>
        <v>#REF!</v>
      </c>
      <c r="F283" s="6" t="e">
        <f>'Tab1'!#REF!</f>
        <v>#REF!</v>
      </c>
      <c r="G283" s="91" t="e">
        <f>1/'Tab1'!#REF!</f>
        <v>#REF!</v>
      </c>
      <c r="H283" s="91" t="e">
        <f>IF(G283="","",'Tab1'!#REF!)</f>
        <v>#REF!</v>
      </c>
      <c r="I283" s="91" t="e">
        <f>IF(H283="","",'Tab1'!#REF!)</f>
        <v>#REF!</v>
      </c>
      <c r="J283" s="91" t="e">
        <f>IF(I283="","",'Tab1'!#REF!)</f>
        <v>#REF!</v>
      </c>
      <c r="K283" s="91" t="e">
        <f>IF(J283="","",'Tab1'!#REF!)</f>
        <v>#REF!</v>
      </c>
      <c r="L283" s="55"/>
      <c r="M283" s="55"/>
      <c r="N283" s="55"/>
      <c r="O283" s="7"/>
      <c r="P283" s="7"/>
      <c r="Q283" s="7"/>
      <c r="R283" s="7"/>
      <c r="S283" s="7"/>
      <c r="T283" s="7"/>
      <c r="U283" s="7"/>
      <c r="V283" s="5"/>
      <c r="W283" s="98"/>
      <c r="X283" s="98"/>
      <c r="Y283" s="98"/>
      <c r="Z283" s="98"/>
    </row>
    <row r="284" spans="1:26" ht="14.25" customHeight="1" x14ac:dyDescent="0.15">
      <c r="A284" s="344" t="e">
        <f>'Tab1'!#REF!</f>
        <v>#REF!</v>
      </c>
      <c r="B284" s="91" t="e">
        <f>IF('Tab1'!#REF!&lt;&gt;"",'Tab1'!#REF!,"")</f>
        <v>#REF!</v>
      </c>
      <c r="C284" s="91" t="e">
        <f>'Tab1'!#REF!</f>
        <v>#REF!</v>
      </c>
      <c r="D284" s="91" t="e">
        <f>'Tab1'!#REF!</f>
        <v>#REF!</v>
      </c>
      <c r="E284" s="91" t="e">
        <f>IF('Tab1'!#REF!&lt;0,"",'Tab1'!#REF!)</f>
        <v>#REF!</v>
      </c>
      <c r="F284" s="6" t="e">
        <f>'Tab1'!#REF!</f>
        <v>#REF!</v>
      </c>
      <c r="G284" s="91" t="e">
        <f>1/'Tab1'!#REF!</f>
        <v>#REF!</v>
      </c>
      <c r="H284" s="91" t="e">
        <f>IF(G284="","",'Tab1'!#REF!)</f>
        <v>#REF!</v>
      </c>
      <c r="I284" s="91" t="e">
        <f>IF(H284="","",'Tab1'!#REF!)</f>
        <v>#REF!</v>
      </c>
      <c r="J284" s="91" t="e">
        <f>IF(I284="","",'Tab1'!#REF!)</f>
        <v>#REF!</v>
      </c>
      <c r="K284" s="91" t="e">
        <f>IF(J284="","",'Tab1'!#REF!)</f>
        <v>#REF!</v>
      </c>
      <c r="L284" s="55"/>
      <c r="M284" s="55"/>
      <c r="N284" s="55"/>
      <c r="O284" s="7"/>
      <c r="P284" s="7"/>
      <c r="Q284" s="7"/>
      <c r="R284" s="7"/>
      <c r="S284" s="7"/>
      <c r="T284" s="7"/>
      <c r="U284" s="7"/>
      <c r="V284" s="5"/>
      <c r="W284" s="98"/>
      <c r="X284" s="98"/>
      <c r="Y284" s="98"/>
      <c r="Z284" s="98"/>
    </row>
    <row r="285" spans="1:26" ht="14.25" customHeight="1" x14ac:dyDescent="0.15">
      <c r="A285" s="344" t="e">
        <f>'Tab1'!#REF!</f>
        <v>#REF!</v>
      </c>
      <c r="B285" s="91" t="e">
        <f>IF('Tab1'!#REF!&lt;&gt;"",'Tab1'!#REF!,"")</f>
        <v>#REF!</v>
      </c>
      <c r="C285" s="91" t="e">
        <f>'Tab1'!#REF!</f>
        <v>#REF!</v>
      </c>
      <c r="D285" s="91" t="e">
        <f>'Tab1'!#REF!</f>
        <v>#REF!</v>
      </c>
      <c r="E285" s="91" t="e">
        <f>IF('Tab1'!#REF!&lt;0,"",'Tab1'!#REF!)</f>
        <v>#REF!</v>
      </c>
      <c r="F285" s="6" t="e">
        <f>'Tab1'!#REF!</f>
        <v>#REF!</v>
      </c>
      <c r="G285" s="91" t="e">
        <f>1/'Tab1'!#REF!</f>
        <v>#REF!</v>
      </c>
      <c r="H285" s="91" t="e">
        <f>IF(G285="","",'Tab1'!#REF!)</f>
        <v>#REF!</v>
      </c>
      <c r="I285" s="91" t="e">
        <f>IF(H285="","",'Tab1'!#REF!)</f>
        <v>#REF!</v>
      </c>
      <c r="J285" s="91" t="e">
        <f>IF(I285="","",'Tab1'!#REF!)</f>
        <v>#REF!</v>
      </c>
      <c r="K285" s="91" t="e">
        <f>IF(J285="","",'Tab1'!#REF!)</f>
        <v>#REF!</v>
      </c>
      <c r="L285" s="55"/>
      <c r="M285" s="55"/>
      <c r="N285" s="55"/>
      <c r="O285" s="7"/>
      <c r="P285" s="7"/>
      <c r="Q285" s="7"/>
      <c r="R285" s="7"/>
      <c r="S285" s="7"/>
      <c r="T285" s="7"/>
      <c r="U285" s="7"/>
      <c r="V285" s="5"/>
      <c r="W285" s="98"/>
      <c r="X285" s="98"/>
      <c r="Y285" s="98"/>
      <c r="Z285" s="98"/>
    </row>
    <row r="286" spans="1:26" ht="14.25" customHeight="1" x14ac:dyDescent="0.15">
      <c r="A286" s="344" t="e">
        <f>'Tab1'!#REF!</f>
        <v>#REF!</v>
      </c>
      <c r="B286" s="91" t="e">
        <f>IF('Tab1'!#REF!&lt;&gt;"",'Tab1'!#REF!,"")</f>
        <v>#REF!</v>
      </c>
      <c r="C286" s="91" t="e">
        <f>'Tab1'!#REF!</f>
        <v>#REF!</v>
      </c>
      <c r="D286" s="91" t="e">
        <f>'Tab1'!#REF!</f>
        <v>#REF!</v>
      </c>
      <c r="E286" s="91" t="e">
        <f>IF('Tab1'!#REF!&lt;0,"",'Tab1'!#REF!)</f>
        <v>#REF!</v>
      </c>
      <c r="F286" s="6" t="e">
        <f>'Tab1'!#REF!</f>
        <v>#REF!</v>
      </c>
      <c r="G286" s="91" t="e">
        <f>1/'Tab1'!#REF!</f>
        <v>#REF!</v>
      </c>
      <c r="H286" s="91" t="e">
        <f>IF(G286="","",'Tab1'!#REF!)</f>
        <v>#REF!</v>
      </c>
      <c r="I286" s="91" t="e">
        <f>IF(H286="","",'Tab1'!#REF!)</f>
        <v>#REF!</v>
      </c>
      <c r="J286" s="91" t="e">
        <f>IF(I286="","",'Tab1'!#REF!)</f>
        <v>#REF!</v>
      </c>
      <c r="K286" s="91" t="e">
        <f>IF(J286="","",'Tab1'!#REF!)</f>
        <v>#REF!</v>
      </c>
      <c r="L286" s="55"/>
      <c r="M286" s="55"/>
      <c r="N286" s="55"/>
      <c r="O286" s="7"/>
      <c r="P286" s="7"/>
      <c r="Q286" s="7"/>
      <c r="R286" s="7"/>
      <c r="S286" s="7"/>
      <c r="T286" s="7"/>
      <c r="U286" s="7"/>
      <c r="V286" s="5"/>
      <c r="W286" s="98"/>
      <c r="X286" s="98"/>
      <c r="Y286" s="98"/>
      <c r="Z286" s="98"/>
    </row>
    <row r="287" spans="1:26" ht="14.25" customHeight="1" x14ac:dyDescent="0.15">
      <c r="A287" s="344" t="e">
        <f>'Tab1'!#REF!</f>
        <v>#REF!</v>
      </c>
      <c r="B287" s="91" t="e">
        <f>IF('Tab1'!#REF!&lt;&gt;"",'Tab1'!#REF!,"")</f>
        <v>#REF!</v>
      </c>
      <c r="C287" s="91" t="e">
        <f>'Tab1'!#REF!</f>
        <v>#REF!</v>
      </c>
      <c r="D287" s="91" t="e">
        <f>'Tab1'!#REF!</f>
        <v>#REF!</v>
      </c>
      <c r="E287" s="91" t="e">
        <f>IF('Tab1'!#REF!&lt;0,"",'Tab1'!#REF!)</f>
        <v>#REF!</v>
      </c>
      <c r="F287" s="6" t="e">
        <f>'Tab1'!#REF!</f>
        <v>#REF!</v>
      </c>
      <c r="G287" s="91" t="e">
        <f>1/'Tab1'!#REF!</f>
        <v>#REF!</v>
      </c>
      <c r="H287" s="91" t="e">
        <f>IF(G287="","",'Tab1'!#REF!)</f>
        <v>#REF!</v>
      </c>
      <c r="I287" s="91" t="e">
        <f>IF(H287="","",'Tab1'!#REF!)</f>
        <v>#REF!</v>
      </c>
      <c r="J287" s="91" t="e">
        <f>IF(I287="","",'Tab1'!#REF!)</f>
        <v>#REF!</v>
      </c>
      <c r="K287" s="91" t="e">
        <f>IF(J287="","",'Tab1'!#REF!)</f>
        <v>#REF!</v>
      </c>
      <c r="L287" s="55"/>
      <c r="M287" s="55"/>
      <c r="N287" s="55"/>
      <c r="O287" s="7"/>
      <c r="P287" s="7"/>
      <c r="Q287" s="7"/>
      <c r="R287" s="7"/>
      <c r="S287" s="7"/>
      <c r="T287" s="7"/>
      <c r="U287" s="7"/>
      <c r="V287" s="5"/>
      <c r="W287" s="98"/>
      <c r="X287" s="98"/>
      <c r="Y287" s="98"/>
      <c r="Z287" s="98"/>
    </row>
    <row r="288" spans="1:26" ht="14.25" customHeight="1" x14ac:dyDescent="0.15">
      <c r="A288" s="344" t="e">
        <f>'Tab1'!#REF!</f>
        <v>#REF!</v>
      </c>
      <c r="B288" s="91" t="e">
        <f>IF('Tab1'!#REF!&lt;&gt;"",'Tab1'!#REF!,"")</f>
        <v>#REF!</v>
      </c>
      <c r="C288" s="91" t="e">
        <f>'Tab1'!#REF!</f>
        <v>#REF!</v>
      </c>
      <c r="D288" s="91" t="e">
        <f>'Tab1'!#REF!</f>
        <v>#REF!</v>
      </c>
      <c r="E288" s="91" t="e">
        <f>IF('Tab1'!#REF!&lt;0,"",'Tab1'!#REF!)</f>
        <v>#REF!</v>
      </c>
      <c r="F288" s="6" t="e">
        <f>'Tab1'!#REF!</f>
        <v>#REF!</v>
      </c>
      <c r="G288" s="91" t="e">
        <f>1/'Tab1'!#REF!</f>
        <v>#REF!</v>
      </c>
      <c r="H288" s="91" t="e">
        <f>IF(G288="","",'Tab1'!#REF!)</f>
        <v>#REF!</v>
      </c>
      <c r="I288" s="91" t="e">
        <f>IF(H288="","",'Tab1'!#REF!)</f>
        <v>#REF!</v>
      </c>
      <c r="J288" s="91" t="e">
        <f>IF(I288="","",'Tab1'!#REF!)</f>
        <v>#REF!</v>
      </c>
      <c r="K288" s="91" t="e">
        <f>IF(J288="","",'Tab1'!#REF!)</f>
        <v>#REF!</v>
      </c>
      <c r="L288" s="55"/>
      <c r="M288" s="55"/>
      <c r="N288" s="55"/>
      <c r="O288" s="7"/>
      <c r="P288" s="7"/>
      <c r="Q288" s="7"/>
      <c r="R288" s="7"/>
      <c r="S288" s="7"/>
      <c r="T288" s="7"/>
      <c r="U288" s="7"/>
      <c r="V288" s="5"/>
      <c r="W288" s="98"/>
      <c r="X288" s="98"/>
      <c r="Y288" s="98"/>
      <c r="Z288" s="98"/>
    </row>
    <row r="289" spans="1:26" ht="14.25" customHeight="1" x14ac:dyDescent="0.15">
      <c r="A289" s="344" t="e">
        <f>'Tab1'!#REF!</f>
        <v>#REF!</v>
      </c>
      <c r="B289" s="91" t="e">
        <f>IF('Tab1'!#REF!&lt;&gt;"",'Tab1'!#REF!,"")</f>
        <v>#REF!</v>
      </c>
      <c r="C289" s="91" t="e">
        <f>'Tab1'!#REF!</f>
        <v>#REF!</v>
      </c>
      <c r="D289" s="91" t="e">
        <f>'Tab1'!#REF!</f>
        <v>#REF!</v>
      </c>
      <c r="E289" s="91" t="e">
        <f>IF('Tab1'!#REF!&lt;0,"",'Tab1'!#REF!)</f>
        <v>#REF!</v>
      </c>
      <c r="F289" s="6" t="e">
        <f>'Tab1'!#REF!</f>
        <v>#REF!</v>
      </c>
      <c r="G289" s="91" t="e">
        <f>1/'Tab1'!#REF!</f>
        <v>#REF!</v>
      </c>
      <c r="H289" s="91" t="e">
        <f>IF(G289="","",'Tab1'!#REF!)</f>
        <v>#REF!</v>
      </c>
      <c r="I289" s="91" t="e">
        <f>IF(H289="","",'Tab1'!#REF!)</f>
        <v>#REF!</v>
      </c>
      <c r="J289" s="91" t="e">
        <f>IF(I289="","",'Tab1'!#REF!)</f>
        <v>#REF!</v>
      </c>
      <c r="K289" s="91" t="e">
        <f>IF(J289="","",'Tab1'!#REF!)</f>
        <v>#REF!</v>
      </c>
      <c r="L289" s="55"/>
      <c r="M289" s="55"/>
      <c r="N289" s="55"/>
      <c r="O289" s="7"/>
      <c r="P289" s="7"/>
      <c r="Q289" s="7"/>
      <c r="R289" s="7"/>
      <c r="S289" s="7"/>
      <c r="T289" s="7"/>
      <c r="U289" s="7"/>
      <c r="V289" s="5"/>
      <c r="W289" s="98"/>
      <c r="X289" s="98"/>
      <c r="Y289" s="98"/>
      <c r="Z289" s="98"/>
    </row>
    <row r="290" spans="1:26" ht="14.25" customHeight="1" x14ac:dyDescent="0.15">
      <c r="A290" s="344" t="e">
        <f>'Tab1'!#REF!</f>
        <v>#REF!</v>
      </c>
      <c r="B290" s="91" t="e">
        <f>IF('Tab1'!#REF!&lt;&gt;"",'Tab1'!#REF!,"")</f>
        <v>#REF!</v>
      </c>
      <c r="C290" s="91" t="e">
        <f>'Tab1'!#REF!</f>
        <v>#REF!</v>
      </c>
      <c r="D290" s="91" t="e">
        <f>'Tab1'!#REF!</f>
        <v>#REF!</v>
      </c>
      <c r="E290" s="91" t="e">
        <f>IF('Tab1'!#REF!&lt;0,"",'Tab1'!#REF!)</f>
        <v>#REF!</v>
      </c>
      <c r="F290" s="6" t="e">
        <f>'Tab1'!#REF!</f>
        <v>#REF!</v>
      </c>
      <c r="G290" s="91" t="e">
        <f>1/'Tab1'!#REF!</f>
        <v>#REF!</v>
      </c>
      <c r="H290" s="91" t="e">
        <f>IF(G290="","",'Tab1'!#REF!)</f>
        <v>#REF!</v>
      </c>
      <c r="I290" s="91" t="e">
        <f>IF(H290="","",'Tab1'!#REF!)</f>
        <v>#REF!</v>
      </c>
      <c r="J290" s="91" t="e">
        <f>IF(I290="","",'Tab1'!#REF!)</f>
        <v>#REF!</v>
      </c>
      <c r="K290" s="91" t="e">
        <f>IF(J290="","",'Tab1'!#REF!)</f>
        <v>#REF!</v>
      </c>
      <c r="L290" s="55"/>
      <c r="M290" s="55"/>
      <c r="N290" s="55"/>
      <c r="O290" s="7"/>
      <c r="P290" s="7"/>
      <c r="Q290" s="7"/>
      <c r="R290" s="7"/>
      <c r="S290" s="7"/>
      <c r="T290" s="7"/>
      <c r="U290" s="7"/>
      <c r="V290" s="5"/>
      <c r="W290" s="98"/>
      <c r="X290" s="98"/>
      <c r="Y290" s="98"/>
      <c r="Z290" s="98"/>
    </row>
    <row r="291" spans="1:26" ht="14.25" customHeight="1" x14ac:dyDescent="0.15">
      <c r="A291" s="344" t="e">
        <f>'Tab1'!#REF!</f>
        <v>#REF!</v>
      </c>
      <c r="B291" s="91" t="e">
        <f>IF('Tab1'!#REF!&lt;&gt;"",'Tab1'!#REF!,"")</f>
        <v>#REF!</v>
      </c>
      <c r="C291" s="91" t="e">
        <f>'Tab1'!#REF!</f>
        <v>#REF!</v>
      </c>
      <c r="D291" s="91" t="e">
        <f>'Tab1'!#REF!</f>
        <v>#REF!</v>
      </c>
      <c r="E291" s="91" t="e">
        <f>IF('Tab1'!#REF!&lt;0,"",'Tab1'!#REF!)</f>
        <v>#REF!</v>
      </c>
      <c r="F291" s="6" t="e">
        <f>'Tab1'!#REF!</f>
        <v>#REF!</v>
      </c>
      <c r="G291" s="91" t="e">
        <f>1/'Tab1'!#REF!</f>
        <v>#REF!</v>
      </c>
      <c r="H291" s="91" t="e">
        <f>IF(G291="","",'Tab1'!#REF!)</f>
        <v>#REF!</v>
      </c>
      <c r="I291" s="91" t="e">
        <f>IF(H291="","",'Tab1'!#REF!)</f>
        <v>#REF!</v>
      </c>
      <c r="J291" s="91" t="e">
        <f>IF(I291="","",'Tab1'!#REF!)</f>
        <v>#REF!</v>
      </c>
      <c r="K291" s="91" t="e">
        <f>IF(J291="","",'Tab1'!#REF!)</f>
        <v>#REF!</v>
      </c>
      <c r="L291" s="55"/>
      <c r="M291" s="55"/>
      <c r="N291" s="55"/>
      <c r="O291" s="7"/>
      <c r="P291" s="7"/>
      <c r="Q291" s="7"/>
      <c r="R291" s="7"/>
      <c r="S291" s="7"/>
      <c r="T291" s="7"/>
      <c r="U291" s="7"/>
      <c r="V291" s="5"/>
      <c r="W291" s="98"/>
      <c r="X291" s="98"/>
      <c r="Y291" s="98"/>
      <c r="Z291" s="98"/>
    </row>
    <row r="292" spans="1:26" ht="14.25" customHeight="1" x14ac:dyDescent="0.15">
      <c r="A292" s="344" t="e">
        <f>'Tab1'!#REF!</f>
        <v>#REF!</v>
      </c>
      <c r="B292" s="91" t="e">
        <f>IF('Tab1'!#REF!&lt;&gt;"",'Tab1'!#REF!,"")</f>
        <v>#REF!</v>
      </c>
      <c r="C292" s="91" t="e">
        <f>'Tab1'!#REF!</f>
        <v>#REF!</v>
      </c>
      <c r="D292" s="91" t="e">
        <f>'Tab1'!#REF!</f>
        <v>#REF!</v>
      </c>
      <c r="E292" s="91" t="e">
        <f>IF('Tab1'!#REF!&lt;0,"",'Tab1'!#REF!)</f>
        <v>#REF!</v>
      </c>
      <c r="F292" s="6" t="e">
        <f>'Tab1'!#REF!</f>
        <v>#REF!</v>
      </c>
      <c r="G292" s="91" t="e">
        <f>1/'Tab1'!#REF!</f>
        <v>#REF!</v>
      </c>
      <c r="H292" s="91" t="e">
        <f>IF(G292="","",'Tab1'!#REF!)</f>
        <v>#REF!</v>
      </c>
      <c r="I292" s="91" t="e">
        <f>IF(H292="","",'Tab1'!#REF!)</f>
        <v>#REF!</v>
      </c>
      <c r="J292" s="91" t="e">
        <f>IF(I292="","",'Tab1'!#REF!)</f>
        <v>#REF!</v>
      </c>
      <c r="K292" s="91" t="e">
        <f>IF(J292="","",'Tab1'!#REF!)</f>
        <v>#REF!</v>
      </c>
      <c r="L292" s="55"/>
      <c r="M292" s="55"/>
      <c r="N292" s="55"/>
      <c r="O292" s="7"/>
      <c r="P292" s="7"/>
      <c r="Q292" s="7"/>
      <c r="R292" s="7"/>
      <c r="S292" s="7"/>
      <c r="T292" s="7"/>
      <c r="U292" s="7"/>
      <c r="V292" s="5"/>
      <c r="W292" s="98"/>
      <c r="X292" s="98"/>
      <c r="Y292" s="98"/>
      <c r="Z292" s="98"/>
    </row>
    <row r="293" spans="1:26" x14ac:dyDescent="0.15">
      <c r="A293" s="222"/>
      <c r="D293" s="5"/>
      <c r="E293" s="5"/>
      <c r="F293" s="5"/>
      <c r="G293" s="91"/>
      <c r="H293" s="5"/>
      <c r="J293" s="5"/>
      <c r="L293" s="5"/>
    </row>
    <row r="294" spans="1:26" ht="16" x14ac:dyDescent="0.2">
      <c r="A294" s="222" t="s">
        <v>338</v>
      </c>
      <c r="C294" s="298">
        <v>173185.30307435335</v>
      </c>
      <c r="D294" s="91">
        <v>0.82299689059955283</v>
      </c>
      <c r="E294" s="91">
        <v>1.0792833257255581</v>
      </c>
      <c r="F294" s="6">
        <v>0.90889999702042934</v>
      </c>
      <c r="G294" s="91">
        <v>1.2380000000000002</v>
      </c>
      <c r="H294" s="91">
        <v>2.116871512801251</v>
      </c>
      <c r="I294" s="298">
        <v>0.87099999999999989</v>
      </c>
      <c r="J294" s="298">
        <v>0.24354998203899789</v>
      </c>
      <c r="K294" s="91">
        <v>2.2110818362245866E-17</v>
      </c>
      <c r="L294" s="55"/>
      <c r="M294" s="55"/>
      <c r="N294" s="55"/>
      <c r="O294" s="55"/>
      <c r="P294" s="55"/>
      <c r="Q294" s="55"/>
      <c r="R294" s="55"/>
      <c r="S294" s="55"/>
      <c r="T294" s="55"/>
      <c r="U294" s="55"/>
    </row>
    <row r="295" spans="1:26" ht="16" x14ac:dyDescent="0.2">
      <c r="A295" s="222" t="s">
        <v>339</v>
      </c>
      <c r="C295" s="298">
        <v>14275.024943756654</v>
      </c>
      <c r="D295" s="91">
        <v>0.63243495822654028</v>
      </c>
      <c r="E295" s="91">
        <v>3.9210346259108741E-2</v>
      </c>
      <c r="F295" s="6">
        <v>2.7564645090691331E-4</v>
      </c>
      <c r="G295" s="91">
        <v>17.026363636363637</v>
      </c>
      <c r="H295" s="91">
        <v>6.6539625634346438</v>
      </c>
      <c r="I295" s="298">
        <v>9.8218181818181816E-2</v>
      </c>
      <c r="J295" s="298">
        <v>24.509979433915433</v>
      </c>
      <c r="K295" s="91">
        <v>2.45690592062813E-18</v>
      </c>
      <c r="L295" s="55"/>
      <c r="M295" s="55"/>
      <c r="N295" s="55"/>
      <c r="O295" s="55"/>
      <c r="P295" s="55"/>
      <c r="Q295" s="55"/>
      <c r="R295" s="55"/>
      <c r="S295" s="55"/>
      <c r="T295" s="55"/>
      <c r="U295" s="55"/>
    </row>
    <row r="296" spans="1:26" ht="16" x14ac:dyDescent="0.2">
      <c r="A296" s="222" t="s">
        <v>340</v>
      </c>
      <c r="C296" s="298">
        <v>15721.574777041065</v>
      </c>
      <c r="D296" s="91">
        <v>0.6106794812845302</v>
      </c>
      <c r="E296" s="91">
        <v>1.9404542658853063E-2</v>
      </c>
      <c r="F296" s="6">
        <v>1.6103140894860211E-3</v>
      </c>
      <c r="G296" s="91">
        <v>65.034545454545466</v>
      </c>
      <c r="H296" s="91">
        <v>83.339501640813864</v>
      </c>
      <c r="I296" s="298">
        <v>0.37083590909090902</v>
      </c>
      <c r="J296" s="298">
        <v>107.91314966595888</v>
      </c>
      <c r="K296" s="91">
        <v>1.2514027929231076E-18</v>
      </c>
      <c r="L296" s="55"/>
      <c r="M296" s="55"/>
      <c r="N296" s="55"/>
      <c r="O296" s="55"/>
      <c r="P296" s="55"/>
      <c r="Q296" s="55"/>
      <c r="R296" s="55"/>
      <c r="S296" s="55"/>
      <c r="T296" s="55"/>
      <c r="U296" s="55"/>
    </row>
    <row r="297" spans="1:26" ht="16" x14ac:dyDescent="0.2">
      <c r="A297" s="222" t="s">
        <v>341</v>
      </c>
      <c r="C297" s="298">
        <v>1281.48354130809</v>
      </c>
      <c r="D297" s="91">
        <v>0.19963178517557154</v>
      </c>
      <c r="E297" s="91">
        <v>1.4306074162845836E-3</v>
      </c>
      <c r="F297" s="6">
        <v>0</v>
      </c>
      <c r="G297" s="91">
        <v>405.2</v>
      </c>
      <c r="H297" s="91">
        <v>4.6570047091198825</v>
      </c>
      <c r="I297" s="298">
        <v>0.67100454545454558</v>
      </c>
      <c r="J297" s="298">
        <v>0.38692997780700067</v>
      </c>
      <c r="K297" s="91">
        <v>0</v>
      </c>
      <c r="L297" s="55"/>
      <c r="M297" s="55"/>
      <c r="N297" s="55"/>
      <c r="O297" s="55"/>
      <c r="P297" s="55"/>
      <c r="Q297" s="55"/>
      <c r="R297" s="55"/>
      <c r="S297" s="55"/>
      <c r="T297" s="55"/>
      <c r="U297" s="55"/>
    </row>
    <row r="298" spans="1:26" x14ac:dyDescent="0.15">
      <c r="A298" s="222"/>
      <c r="D298" s="5"/>
      <c r="E298" s="5"/>
      <c r="F298" s="5"/>
      <c r="G298" s="91"/>
      <c r="H298" s="5"/>
      <c r="J298" s="5"/>
      <c r="L298" s="5"/>
    </row>
    <row r="299" spans="1:26" x14ac:dyDescent="0.15">
      <c r="A299" s="222"/>
      <c r="D299" s="5"/>
      <c r="E299" s="5"/>
      <c r="F299" s="5"/>
      <c r="G299" s="91"/>
      <c r="H299" s="5"/>
      <c r="J299" s="5"/>
      <c r="L299" s="5"/>
    </row>
    <row r="300" spans="1:26" x14ac:dyDescent="0.15">
      <c r="A300" s="222"/>
      <c r="D300" s="5"/>
      <c r="E300" s="5"/>
      <c r="F300" s="5"/>
      <c r="G300" s="91"/>
      <c r="H300" s="5"/>
      <c r="J300" s="5"/>
      <c r="L300" s="5"/>
    </row>
    <row r="301" spans="1:26" x14ac:dyDescent="0.15">
      <c r="A301" s="222"/>
      <c r="D301" s="5"/>
      <c r="E301" s="5"/>
      <c r="F301" s="5"/>
      <c r="G301" s="91"/>
      <c r="H301" s="5"/>
      <c r="J301" s="5"/>
      <c r="L301" s="5"/>
    </row>
    <row r="302" spans="1:26" x14ac:dyDescent="0.15">
      <c r="A302" s="222"/>
      <c r="D302" s="5"/>
      <c r="E302" s="5"/>
      <c r="F302" s="5"/>
      <c r="G302" s="91"/>
      <c r="H302" s="5"/>
      <c r="J302" s="5"/>
      <c r="L302" s="5"/>
      <c r="M302" s="92"/>
      <c r="N302" s="92"/>
      <c r="O302" s="92"/>
      <c r="P302" s="92"/>
      <c r="Q302" s="92"/>
      <c r="R302" s="92"/>
      <c r="S302" s="92"/>
      <c r="T302" s="92"/>
      <c r="U302" s="92"/>
    </row>
    <row r="303" spans="1:26" x14ac:dyDescent="0.15">
      <c r="A303" s="222"/>
      <c r="D303" s="5"/>
      <c r="E303" s="5"/>
      <c r="F303" s="5"/>
      <c r="G303" s="91"/>
      <c r="H303" s="5"/>
      <c r="J303" s="5"/>
      <c r="L303" s="5"/>
      <c r="M303" s="92"/>
      <c r="N303" s="92"/>
      <c r="O303" s="92"/>
      <c r="P303" s="92"/>
      <c r="Q303" s="92"/>
      <c r="R303" s="92"/>
      <c r="S303" s="92"/>
      <c r="T303" s="92"/>
      <c r="U303" s="92"/>
    </row>
    <row r="304" spans="1:26" x14ac:dyDescent="0.15">
      <c r="A304" s="222"/>
      <c r="D304" s="5"/>
      <c r="E304" s="5"/>
      <c r="F304" s="5"/>
      <c r="G304" s="91"/>
      <c r="H304" s="5"/>
      <c r="J304" s="5"/>
      <c r="L304" s="5"/>
      <c r="M304" s="92"/>
      <c r="N304" s="92"/>
      <c r="O304" s="92"/>
      <c r="P304" s="92"/>
      <c r="Q304" s="92"/>
      <c r="R304" s="92"/>
      <c r="S304" s="92"/>
      <c r="T304" s="92"/>
      <c r="U304" s="92"/>
    </row>
    <row r="305" spans="1:21" x14ac:dyDescent="0.15">
      <c r="A305" s="222"/>
      <c r="D305" s="5"/>
      <c r="E305" s="5"/>
      <c r="F305" s="5"/>
      <c r="G305" s="91"/>
      <c r="H305" s="5"/>
      <c r="J305" s="5"/>
      <c r="L305" s="5"/>
      <c r="M305" s="92"/>
      <c r="N305" s="92"/>
      <c r="O305" s="92"/>
      <c r="P305" s="92"/>
      <c r="Q305" s="92"/>
      <c r="R305" s="92"/>
      <c r="S305" s="92"/>
      <c r="T305" s="92"/>
      <c r="U305" s="92"/>
    </row>
    <row r="306" spans="1:21" x14ac:dyDescent="0.15">
      <c r="A306" s="222"/>
      <c r="D306" s="5"/>
      <c r="E306" s="5"/>
      <c r="F306" s="5"/>
      <c r="G306" s="91"/>
      <c r="H306" s="5"/>
      <c r="J306" s="5"/>
      <c r="L306" s="5"/>
      <c r="M306" s="92"/>
      <c r="N306" s="92"/>
      <c r="O306" s="92"/>
      <c r="P306" s="92"/>
      <c r="Q306" s="92"/>
      <c r="R306" s="92"/>
      <c r="S306" s="92"/>
      <c r="T306" s="92"/>
      <c r="U306" s="92"/>
    </row>
    <row r="307" spans="1:21" x14ac:dyDescent="0.15">
      <c r="A307" s="222"/>
      <c r="D307" s="5"/>
      <c r="E307" s="5"/>
      <c r="F307" s="5"/>
      <c r="G307" s="91"/>
      <c r="H307" s="5"/>
      <c r="J307" s="5"/>
      <c r="L307" s="5"/>
      <c r="M307" s="92"/>
      <c r="N307" s="92"/>
      <c r="O307" s="92"/>
      <c r="P307" s="92"/>
      <c r="Q307" s="92"/>
      <c r="R307" s="92"/>
      <c r="S307" s="92"/>
      <c r="T307" s="92"/>
      <c r="U307" s="92"/>
    </row>
    <row r="308" spans="1:21" x14ac:dyDescent="0.15">
      <c r="A308" s="222"/>
      <c r="D308" s="5"/>
      <c r="E308" s="5"/>
      <c r="F308" s="5"/>
      <c r="G308" s="91"/>
      <c r="H308" s="5"/>
      <c r="J308" s="5"/>
      <c r="L308" s="5"/>
      <c r="M308" s="92"/>
      <c r="N308" s="92"/>
      <c r="O308" s="92"/>
      <c r="P308" s="92"/>
      <c r="Q308" s="92"/>
      <c r="R308" s="92"/>
      <c r="S308" s="92"/>
      <c r="T308" s="92"/>
      <c r="U308" s="92"/>
    </row>
    <row r="309" spans="1:21" x14ac:dyDescent="0.15">
      <c r="A309" s="222"/>
      <c r="D309" s="5"/>
      <c r="E309" s="5"/>
      <c r="F309" s="5"/>
      <c r="G309" s="91"/>
      <c r="H309" s="5"/>
      <c r="J309" s="5"/>
      <c r="L309" s="5"/>
      <c r="M309" s="92"/>
      <c r="N309" s="92"/>
      <c r="O309" s="92"/>
      <c r="P309" s="92"/>
      <c r="Q309" s="92"/>
      <c r="R309" s="92"/>
      <c r="S309" s="92"/>
      <c r="T309" s="92"/>
      <c r="U309" s="92"/>
    </row>
    <row r="310" spans="1:21" x14ac:dyDescent="0.15">
      <c r="A310" s="222"/>
      <c r="D310" s="5"/>
      <c r="E310" s="5"/>
      <c r="F310" s="5"/>
      <c r="G310" s="91"/>
      <c r="H310" s="5"/>
      <c r="J310" s="5"/>
      <c r="L310" s="5"/>
      <c r="M310" s="92"/>
      <c r="N310" s="92"/>
      <c r="O310" s="92"/>
      <c r="P310" s="92"/>
      <c r="Q310" s="92"/>
      <c r="R310" s="92"/>
      <c r="S310" s="92"/>
      <c r="T310" s="92"/>
      <c r="U310" s="92"/>
    </row>
    <row r="311" spans="1:21" x14ac:dyDescent="0.15">
      <c r="A311" s="222"/>
      <c r="D311" s="5"/>
      <c r="E311" s="5"/>
      <c r="F311" s="5"/>
      <c r="G311" s="91"/>
      <c r="H311" s="5"/>
      <c r="J311" s="5"/>
      <c r="L311" s="5"/>
      <c r="M311" s="92"/>
      <c r="N311" s="92"/>
      <c r="O311" s="92"/>
      <c r="P311" s="92"/>
      <c r="Q311" s="92"/>
      <c r="R311" s="92"/>
      <c r="S311" s="92"/>
      <c r="T311" s="92"/>
      <c r="U311" s="92"/>
    </row>
    <row r="312" spans="1:21" x14ac:dyDescent="0.15">
      <c r="A312" s="222"/>
      <c r="D312" s="5"/>
      <c r="E312" s="5"/>
      <c r="F312" s="5"/>
      <c r="G312" s="91"/>
      <c r="H312" s="5"/>
      <c r="J312" s="5"/>
      <c r="L312" s="5"/>
      <c r="M312" s="92"/>
      <c r="N312" s="92"/>
      <c r="O312" s="92"/>
      <c r="P312" s="92"/>
      <c r="Q312" s="92"/>
      <c r="R312" s="92"/>
      <c r="S312" s="92"/>
      <c r="T312" s="92"/>
      <c r="U312" s="92"/>
    </row>
    <row r="313" spans="1:21" ht="15" x14ac:dyDescent="0.2">
      <c r="A313" s="345" t="s">
        <v>300</v>
      </c>
      <c r="D313" s="5"/>
      <c r="E313" s="5"/>
      <c r="F313" s="5"/>
      <c r="G313" s="91"/>
      <c r="H313" s="5"/>
      <c r="J313" s="5"/>
      <c r="L313" s="5"/>
      <c r="M313" s="92"/>
      <c r="N313" s="92"/>
      <c r="O313" s="92"/>
      <c r="P313" s="92"/>
      <c r="Q313" s="92"/>
      <c r="R313" s="92"/>
      <c r="S313" s="92"/>
      <c r="T313" s="92"/>
      <c r="U313" s="92"/>
    </row>
    <row r="314" spans="1:21" x14ac:dyDescent="0.15">
      <c r="A314" s="297" t="e">
        <f>'Tab1'!#REF!</f>
        <v>#REF!</v>
      </c>
      <c r="B314" s="91" t="e">
        <f>IF('Tab1'!#REF!&lt;&gt;"",'Tab1'!#REF!,"")</f>
        <v>#REF!</v>
      </c>
      <c r="C314" s="91" t="e">
        <f>'Tab1'!#REF!</f>
        <v>#REF!</v>
      </c>
      <c r="D314" s="91" t="e">
        <f>'Tab1'!#REF!</f>
        <v>#REF!</v>
      </c>
      <c r="E314" s="91" t="e">
        <f>'Tab1'!#REF!</f>
        <v>#REF!</v>
      </c>
      <c r="F314" s="6" t="e">
        <f>'Tab1'!#REF!</f>
        <v>#REF!</v>
      </c>
      <c r="G314" s="91" t="e">
        <f>RoundMe(1/'Tab1'!#REF!,4)</f>
        <v>#VALUE!</v>
      </c>
      <c r="H314" s="91" t="e">
        <f>'Tab1'!#REF!</f>
        <v>#REF!</v>
      </c>
      <c r="I314" s="91" t="e">
        <f>RoundMe('Tab1'!#REF!,4)</f>
        <v>#VALUE!</v>
      </c>
      <c r="J314" s="91" t="e">
        <f>'Tab1'!#REF!</f>
        <v>#REF!</v>
      </c>
      <c r="K314" s="91" t="e">
        <f>'Tab1'!#REF!</f>
        <v>#REF!</v>
      </c>
      <c r="L314" s="55"/>
      <c r="M314" s="55"/>
      <c r="N314" s="55"/>
      <c r="O314" s="55"/>
      <c r="P314" s="55"/>
      <c r="Q314" s="55"/>
      <c r="R314" s="55"/>
      <c r="S314" s="55"/>
      <c r="T314" s="55"/>
      <c r="U314" s="55"/>
    </row>
    <row r="315" spans="1:21" x14ac:dyDescent="0.15">
      <c r="A315" s="297" t="str">
        <f>'Tab1'!A3</f>
        <v>001_A</v>
      </c>
      <c r="B315" s="91" t="str">
        <f>IF('Tab1'!B3&lt;&gt;"",'Tab1'!B3,"")</f>
        <v>NIST612 gl</v>
      </c>
      <c r="C315" s="91">
        <f>'Tab1'!F3</f>
        <v>0.65465952997651355</v>
      </c>
      <c r="D315" s="91" t="e">
        <f>'Tab1'!#REF!</f>
        <v>#REF!</v>
      </c>
      <c r="E315" s="91">
        <f>'Tab1'!AH3</f>
        <v>34.874910194623915</v>
      </c>
      <c r="F315" s="6" t="e">
        <f>'Tab1'!#REF!</f>
        <v>#REF!</v>
      </c>
      <c r="G315" s="91" t="e">
        <f>RoundMe(1/'Tab1'!#REF!,4)</f>
        <v>#VALUE!</v>
      </c>
      <c r="H315" s="91" t="e">
        <f>'Tab1'!#REF!</f>
        <v>#REF!</v>
      </c>
      <c r="I315" s="91">
        <f>RoundMe('Tab1'!Y3,4)</f>
        <v>4.0519999999999996</v>
      </c>
      <c r="J315" s="91">
        <f>'Tab1'!Z3</f>
        <v>1.057910751040423E-2</v>
      </c>
      <c r="K315" s="91" t="e">
        <f>'Tab1'!#REF!</f>
        <v>#REF!</v>
      </c>
      <c r="L315" s="55"/>
      <c r="M315" s="55"/>
      <c r="N315" s="55"/>
      <c r="O315" s="55"/>
      <c r="P315" s="55"/>
      <c r="Q315" s="55"/>
      <c r="R315" s="55"/>
      <c r="S315" s="55"/>
      <c r="T315" s="55"/>
      <c r="U315" s="55"/>
    </row>
    <row r="316" spans="1:21" x14ac:dyDescent="0.15">
      <c r="A316" s="297" t="str">
        <f>'Tab1'!A5</f>
        <v>051_A</v>
      </c>
      <c r="B316" s="91" t="str">
        <f>IF('Tab1'!B5&lt;&gt;"",'Tab1'!B5,"")</f>
        <v>NIST612 gl</v>
      </c>
      <c r="C316" s="91">
        <f>'Tab1'!F5</f>
        <v>0.57284208422713778</v>
      </c>
      <c r="D316" s="91" t="e">
        <f>'Tab1'!#REF!</f>
        <v>#REF!</v>
      </c>
      <c r="E316" s="91">
        <f>'Tab1'!AH5</f>
        <v>34.917303509905999</v>
      </c>
      <c r="F316" s="6" t="e">
        <f>'Tab1'!#REF!</f>
        <v>#REF!</v>
      </c>
      <c r="G316" s="91" t="e">
        <f>RoundMe(1/'Tab1'!#REF!,4)</f>
        <v>#VALUE!</v>
      </c>
      <c r="H316" s="91" t="e">
        <f>'Tab1'!#REF!</f>
        <v>#REF!</v>
      </c>
      <c r="I316" s="91">
        <f>RoundMe('Tab1'!Y5,4)</f>
        <v>4.0490000000000004</v>
      </c>
      <c r="J316" s="91">
        <f>'Tab1'!Z5</f>
        <v>1.2679929622187445E-2</v>
      </c>
      <c r="K316" s="91" t="e">
        <f>'Tab1'!#REF!</f>
        <v>#REF!</v>
      </c>
      <c r="L316" s="55"/>
      <c r="M316" s="55"/>
      <c r="N316" s="55"/>
      <c r="O316" s="55"/>
      <c r="P316" s="55"/>
      <c r="Q316" s="55"/>
      <c r="R316" s="55"/>
      <c r="S316" s="55"/>
      <c r="T316" s="55"/>
      <c r="U316" s="55"/>
    </row>
    <row r="317" spans="1:21" x14ac:dyDescent="0.15">
      <c r="A317" s="297" t="str">
        <f>'Tab1'!A6</f>
        <v>052_A</v>
      </c>
      <c r="B317" s="91" t="str">
        <f>IF('Tab1'!B6&lt;&gt;"",'Tab1'!B6,"")</f>
        <v>NIST612 gl</v>
      </c>
      <c r="C317" s="91">
        <f>'Tab1'!F6</f>
        <v>0.6649227158429285</v>
      </c>
      <c r="D317" s="91" t="e">
        <f>'Tab1'!#REF!</f>
        <v>#REF!</v>
      </c>
      <c r="E317" s="91">
        <f>'Tab1'!AH6</f>
        <v>34.854648664603232</v>
      </c>
      <c r="F317" s="6" t="e">
        <f>'Tab1'!#REF!</f>
        <v>#REF!</v>
      </c>
      <c r="G317" s="91" t="e">
        <f>RoundMe(1/'Tab1'!#REF!,4)</f>
        <v>#VALUE!</v>
      </c>
      <c r="H317" s="91" t="e">
        <f>'Tab1'!#REF!</f>
        <v>#REF!</v>
      </c>
      <c r="I317" s="91">
        <f>RoundMe('Tab1'!Y6,4)</f>
        <v>4.0519999999999996</v>
      </c>
      <c r="J317" s="91">
        <f>'Tab1'!Z6</f>
        <v>1.1315170567163108E-2</v>
      </c>
      <c r="K317" s="91" t="e">
        <f>'Tab1'!#REF!</f>
        <v>#REF!</v>
      </c>
      <c r="L317" s="55"/>
      <c r="M317" s="55"/>
      <c r="N317" s="55"/>
      <c r="O317" s="55"/>
      <c r="P317" s="55"/>
      <c r="Q317" s="55"/>
      <c r="R317" s="55"/>
      <c r="S317" s="55"/>
      <c r="T317" s="55"/>
      <c r="U317" s="55"/>
    </row>
    <row r="318" spans="1:21" x14ac:dyDescent="0.15">
      <c r="A318" s="297" t="str">
        <f>'Tab1'!A7</f>
        <v>101_A</v>
      </c>
      <c r="B318" s="91" t="str">
        <f>IF('Tab1'!B7&lt;&gt;"",'Tab1'!B7,"")</f>
        <v>NIST612 gl</v>
      </c>
      <c r="C318" s="91">
        <f>'Tab1'!F7</f>
        <v>0.62399722764262366</v>
      </c>
      <c r="D318" s="91" t="e">
        <f>'Tab1'!#REF!</f>
        <v>#REF!</v>
      </c>
      <c r="E318" s="91">
        <f>'Tab1'!AH7</f>
        <v>35.178991276284584</v>
      </c>
      <c r="F318" s="6" t="e">
        <f>'Tab1'!#REF!</f>
        <v>#REF!</v>
      </c>
      <c r="G318" s="91" t="e">
        <f>RoundMe(1/'Tab1'!#REF!,4)</f>
        <v>#VALUE!</v>
      </c>
      <c r="H318" s="91" t="e">
        <f>'Tab1'!#REF!</f>
        <v>#REF!</v>
      </c>
      <c r="I318" s="91">
        <f>RoundMe('Tab1'!Y7,4)</f>
        <v>4.05</v>
      </c>
      <c r="J318" s="91">
        <f>'Tab1'!Z7</f>
        <v>1.4143157309282695E-2</v>
      </c>
      <c r="K318" s="91" t="e">
        <f>'Tab1'!#REF!</f>
        <v>#REF!</v>
      </c>
      <c r="L318" s="55"/>
      <c r="M318" s="55"/>
      <c r="N318" s="55"/>
      <c r="O318" s="55"/>
      <c r="P318" s="55"/>
      <c r="Q318" s="55"/>
      <c r="R318" s="55"/>
      <c r="S318" s="55"/>
      <c r="T318" s="55"/>
      <c r="U318" s="55"/>
    </row>
    <row r="319" spans="1:21" x14ac:dyDescent="0.15">
      <c r="A319" s="297" t="str">
        <f>'Tab1'!A8</f>
        <v>102_A</v>
      </c>
      <c r="B319" s="91" t="str">
        <f>IF('Tab1'!B8&lt;&gt;"",'Tab1'!B8,"")</f>
        <v>NIST612 gl</v>
      </c>
      <c r="C319" s="91">
        <f>'Tab1'!F8</f>
        <v>0.62610106098311202</v>
      </c>
      <c r="D319" s="91" t="e">
        <f>'Tab1'!#REF!</f>
        <v>#REF!</v>
      </c>
      <c r="E319" s="91">
        <f>'Tab1'!AH8</f>
        <v>35.359111207990018</v>
      </c>
      <c r="F319" s="6" t="e">
        <f>'Tab1'!#REF!</f>
        <v>#REF!</v>
      </c>
      <c r="G319" s="91" t="e">
        <f>RoundMe(1/'Tab1'!#REF!,4)</f>
        <v>#VALUE!</v>
      </c>
      <c r="H319" s="91" t="e">
        <f>'Tab1'!#REF!</f>
        <v>#REF!</v>
      </c>
      <c r="I319" s="91">
        <f>RoundMe('Tab1'!Y8,4)</f>
        <v>4.0510000000000002</v>
      </c>
      <c r="J319" s="91">
        <f>'Tab1'!Z8</f>
        <v>1.3490841126168898E-2</v>
      </c>
      <c r="K319" s="91" t="e">
        <f>'Tab1'!#REF!</f>
        <v>#REF!</v>
      </c>
      <c r="L319" s="55"/>
      <c r="M319" s="55"/>
      <c r="N319" s="55"/>
      <c r="O319" s="55"/>
      <c r="P319" s="55"/>
      <c r="Q319" s="55"/>
      <c r="R319" s="55"/>
      <c r="S319" s="55"/>
      <c r="T319" s="55"/>
      <c r="U319" s="55"/>
    </row>
    <row r="320" spans="1:21" x14ac:dyDescent="0.15">
      <c r="A320" s="297" t="e">
        <f>'Tab1'!#REF!</f>
        <v>#REF!</v>
      </c>
      <c r="B320" s="91" t="e">
        <f>IF('Tab1'!#REF!&lt;&gt;"",'Tab1'!#REF!,"")</f>
        <v>#REF!</v>
      </c>
      <c r="C320" s="91" t="e">
        <f>'Tab1'!#REF!</f>
        <v>#REF!</v>
      </c>
      <c r="D320" s="91" t="e">
        <f>'Tab1'!#REF!</f>
        <v>#REF!</v>
      </c>
      <c r="E320" s="91" t="e">
        <f>'Tab1'!#REF!</f>
        <v>#REF!</v>
      </c>
      <c r="F320" s="6" t="e">
        <f>'Tab1'!#REF!</f>
        <v>#REF!</v>
      </c>
      <c r="G320" s="91" t="e">
        <f>RoundMe(1/'Tab1'!#REF!,4)</f>
        <v>#VALUE!</v>
      </c>
      <c r="H320" s="91" t="e">
        <f>'Tab1'!#REF!</f>
        <v>#REF!</v>
      </c>
      <c r="I320" s="91" t="e">
        <f>RoundMe('Tab1'!#REF!,4)</f>
        <v>#VALUE!</v>
      </c>
      <c r="J320" s="91" t="e">
        <f>'Tab1'!#REF!</f>
        <v>#REF!</v>
      </c>
      <c r="K320" s="91" t="e">
        <f>'Tab1'!#REF!</f>
        <v>#REF!</v>
      </c>
      <c r="L320" s="55"/>
      <c r="M320" s="55"/>
      <c r="N320" s="55"/>
      <c r="O320" s="55"/>
      <c r="P320" s="55"/>
      <c r="Q320" s="55"/>
      <c r="R320" s="55"/>
      <c r="S320" s="55"/>
      <c r="T320" s="55"/>
      <c r="U320" s="55"/>
    </row>
    <row r="321" spans="1:21" x14ac:dyDescent="0.15">
      <c r="A321" s="297" t="e">
        <f>'Tab1'!#REF!</f>
        <v>#REF!</v>
      </c>
      <c r="B321" s="91" t="e">
        <f>IF('Tab1'!#REF!&lt;&gt;"",'Tab1'!#REF!,"")</f>
        <v>#REF!</v>
      </c>
      <c r="C321" s="91" t="e">
        <f>'Tab1'!#REF!</f>
        <v>#REF!</v>
      </c>
      <c r="D321" s="91" t="e">
        <f>'Tab1'!#REF!</f>
        <v>#REF!</v>
      </c>
      <c r="E321" s="91" t="e">
        <f>'Tab1'!#REF!</f>
        <v>#REF!</v>
      </c>
      <c r="F321" s="6" t="e">
        <f>'Tab1'!#REF!</f>
        <v>#REF!</v>
      </c>
      <c r="G321" s="91" t="e">
        <f>RoundMe(1/'Tab1'!#REF!,4)</f>
        <v>#VALUE!</v>
      </c>
      <c r="H321" s="91" t="e">
        <f>'Tab1'!#REF!</f>
        <v>#REF!</v>
      </c>
      <c r="I321" s="91" t="e">
        <f>RoundMe('Tab1'!#REF!,4)</f>
        <v>#VALUE!</v>
      </c>
      <c r="J321" s="91" t="e">
        <f>'Tab1'!#REF!</f>
        <v>#REF!</v>
      </c>
      <c r="K321" s="91" t="e">
        <f>'Tab1'!#REF!</f>
        <v>#REF!</v>
      </c>
      <c r="L321" s="55"/>
      <c r="M321" s="55"/>
      <c r="N321" s="55"/>
      <c r="O321" s="55"/>
      <c r="P321" s="55"/>
      <c r="Q321" s="55"/>
      <c r="R321" s="55"/>
      <c r="S321" s="55"/>
      <c r="T321" s="55"/>
      <c r="U321" s="55"/>
    </row>
    <row r="322" spans="1:21" x14ac:dyDescent="0.15">
      <c r="A322" s="297" t="str">
        <f>'Tab1'!A9</f>
        <v>151_A</v>
      </c>
      <c r="B322" s="91" t="str">
        <f>IF('Tab1'!B9&lt;&gt;"",'Tab1'!B9,"")</f>
        <v>NIST612 gl</v>
      </c>
      <c r="C322" s="91">
        <f>'Tab1'!F9</f>
        <v>0.61127024425909005</v>
      </c>
      <c r="D322" s="91" t="e">
        <f>'Tab1'!#REF!</f>
        <v>#REF!</v>
      </c>
      <c r="E322" s="91">
        <f>'Tab1'!AH9</f>
        <v>35.105997035397401</v>
      </c>
      <c r="F322" s="6" t="e">
        <f>'Tab1'!#REF!</f>
        <v>#REF!</v>
      </c>
      <c r="G322" s="91" t="e">
        <f>RoundMe(1/'Tab1'!#REF!,4)</f>
        <v>#VALUE!</v>
      </c>
      <c r="H322" s="91" t="e">
        <f>'Tab1'!#REF!</f>
        <v>#REF!</v>
      </c>
      <c r="I322" s="91">
        <f>RoundMe('Tab1'!Y9,4)</f>
        <v>4.0510000000000002</v>
      </c>
      <c r="J322" s="91">
        <f>'Tab1'!Z9</f>
        <v>1.268851355591431E-2</v>
      </c>
      <c r="K322" s="91" t="e">
        <f>'Tab1'!#REF!</f>
        <v>#REF!</v>
      </c>
      <c r="L322" s="55"/>
      <c r="M322" s="55"/>
      <c r="N322" s="55"/>
      <c r="O322" s="55"/>
      <c r="P322" s="55"/>
      <c r="Q322" s="55"/>
      <c r="R322" s="55"/>
      <c r="S322" s="55"/>
      <c r="T322" s="55"/>
      <c r="U322" s="55"/>
    </row>
    <row r="323" spans="1:21" x14ac:dyDescent="0.15">
      <c r="A323" s="297" t="str">
        <f>'Tab1'!A10</f>
        <v>152_A</v>
      </c>
      <c r="B323" s="91" t="str">
        <f>IF('Tab1'!B10&lt;&gt;"",'Tab1'!B10,"")</f>
        <v>NIST612 gl</v>
      </c>
      <c r="C323" s="91">
        <f>'Tab1'!F10</f>
        <v>0.62822283027897641</v>
      </c>
      <c r="D323" s="91" t="e">
        <f>'Tab1'!#REF!</f>
        <v>#REF!</v>
      </c>
      <c r="E323" s="91">
        <f>'Tab1'!AH10</f>
        <v>34.904952126110608</v>
      </c>
      <c r="F323" s="6" t="e">
        <f>'Tab1'!#REF!</f>
        <v>#REF!</v>
      </c>
      <c r="G323" s="91" t="e">
        <f>RoundMe(1/'Tab1'!#REF!,4)</f>
        <v>#VALUE!</v>
      </c>
      <c r="H323" s="91" t="e">
        <f>'Tab1'!#REF!</f>
        <v>#REF!</v>
      </c>
      <c r="I323" s="91">
        <f>RoundMe('Tab1'!Y10,4)</f>
        <v>4.0519999999999996</v>
      </c>
      <c r="J323" s="91">
        <f>'Tab1'!Z10</f>
        <v>1.569407611745573E-2</v>
      </c>
      <c r="K323" s="91" t="e">
        <f>'Tab1'!#REF!</f>
        <v>#REF!</v>
      </c>
      <c r="L323" s="55"/>
      <c r="M323" s="55"/>
      <c r="N323" s="55"/>
      <c r="O323" s="55"/>
      <c r="P323" s="55"/>
      <c r="Q323" s="55"/>
      <c r="R323" s="55"/>
      <c r="S323" s="55"/>
      <c r="T323" s="55"/>
      <c r="U323" s="55"/>
    </row>
    <row r="324" spans="1:21" x14ac:dyDescent="0.15">
      <c r="A324" s="297" t="str">
        <f>'Tab1'!A11</f>
        <v>201_A</v>
      </c>
      <c r="B324" s="91" t="str">
        <f>IF('Tab1'!B11&lt;&gt;"",'Tab1'!B11,"")</f>
        <v>NIST612 gl</v>
      </c>
      <c r="C324" s="91">
        <f>'Tab1'!F11</f>
        <v>0.61942990793074781</v>
      </c>
      <c r="D324" s="91" t="e">
        <f>'Tab1'!#REF!</f>
        <v>#REF!</v>
      </c>
      <c r="E324" s="91">
        <f>'Tab1'!AH11</f>
        <v>34.317013409042495</v>
      </c>
      <c r="F324" s="6" t="e">
        <f>'Tab1'!#REF!</f>
        <v>#REF!</v>
      </c>
      <c r="G324" s="91" t="e">
        <f>RoundMe(1/'Tab1'!#REF!,4)</f>
        <v>#VALUE!</v>
      </c>
      <c r="H324" s="91" t="e">
        <f>'Tab1'!#REF!</f>
        <v>#REF!</v>
      </c>
      <c r="I324" s="91">
        <f>RoundMe('Tab1'!Y11,4)</f>
        <v>4.05</v>
      </c>
      <c r="J324" s="91">
        <f>'Tab1'!Z11</f>
        <v>1.3331001238104939E-2</v>
      </c>
      <c r="K324" s="91" t="e">
        <f>'Tab1'!#REF!</f>
        <v>#REF!</v>
      </c>
      <c r="L324" s="55"/>
      <c r="M324" s="55"/>
      <c r="N324" s="55"/>
      <c r="O324" s="55"/>
      <c r="P324" s="55"/>
      <c r="Q324" s="55"/>
      <c r="R324" s="55"/>
      <c r="S324" s="55"/>
      <c r="T324" s="55"/>
      <c r="U324" s="55"/>
    </row>
    <row r="325" spans="1:21" x14ac:dyDescent="0.15">
      <c r="A325" s="297" t="str">
        <f>'Tab1'!A12</f>
        <v>202_A</v>
      </c>
      <c r="B325" s="91" t="str">
        <f>IF('Tab1'!B12&lt;&gt;"",'Tab1'!B12,"")</f>
        <v>NIST612 gl</v>
      </c>
      <c r="C325" s="91">
        <f>'Tab1'!F12</f>
        <v>0.61427286722838381</v>
      </c>
      <c r="D325" s="91" t="e">
        <f>'Tab1'!#REF!</f>
        <v>#REF!</v>
      </c>
      <c r="E325" s="91">
        <f>'Tab1'!AH12</f>
        <v>34.577629078101523</v>
      </c>
      <c r="F325" s="6" t="e">
        <f>'Tab1'!#REF!</f>
        <v>#REF!</v>
      </c>
      <c r="G325" s="91" t="e">
        <f>RoundMe(1/'Tab1'!#REF!,4)</f>
        <v>#VALUE!</v>
      </c>
      <c r="H325" s="91" t="e">
        <f>'Tab1'!#REF!</f>
        <v>#REF!</v>
      </c>
      <c r="I325" s="91">
        <f>RoundMe('Tab1'!Y12,4)</f>
        <v>4.05</v>
      </c>
      <c r="J325" s="91">
        <f>'Tab1'!Z12</f>
        <v>1.4729239308114397E-2</v>
      </c>
      <c r="K325" s="91" t="e">
        <f>'Tab1'!#REF!</f>
        <v>#REF!</v>
      </c>
      <c r="L325" s="55"/>
      <c r="M325" s="55"/>
      <c r="N325" s="55"/>
      <c r="O325" s="55"/>
      <c r="P325" s="55"/>
      <c r="Q325" s="55"/>
      <c r="R325" s="55"/>
      <c r="S325" s="55"/>
      <c r="T325" s="55"/>
      <c r="U325" s="55"/>
    </row>
    <row r="326" spans="1:21" x14ac:dyDescent="0.15">
      <c r="A326" s="297" t="e">
        <f>'Tab1'!#REF!</f>
        <v>#REF!</v>
      </c>
      <c r="B326" s="91" t="e">
        <f>IF('Tab1'!#REF!&lt;&gt;"",'Tab1'!#REF!,"")</f>
        <v>#REF!</v>
      </c>
      <c r="C326" s="91" t="e">
        <f>'Tab1'!#REF!</f>
        <v>#REF!</v>
      </c>
      <c r="D326" s="91" t="e">
        <f>'Tab1'!#REF!</f>
        <v>#REF!</v>
      </c>
      <c r="E326" s="91" t="e">
        <f>'Tab1'!#REF!</f>
        <v>#REF!</v>
      </c>
      <c r="F326" s="6" t="e">
        <f>'Tab1'!#REF!</f>
        <v>#REF!</v>
      </c>
      <c r="G326" s="91" t="e">
        <f>RoundMe(1/'Tab1'!#REF!,4)</f>
        <v>#VALUE!</v>
      </c>
      <c r="H326" s="91" t="e">
        <f>'Tab1'!#REF!</f>
        <v>#REF!</v>
      </c>
      <c r="I326" s="91" t="e">
        <f>RoundMe('Tab1'!#REF!,4)</f>
        <v>#VALUE!</v>
      </c>
      <c r="J326" s="91" t="e">
        <f>'Tab1'!#REF!</f>
        <v>#REF!</v>
      </c>
      <c r="K326" s="91" t="e">
        <f>'Tab1'!#REF!</f>
        <v>#REF!</v>
      </c>
      <c r="L326" s="55"/>
      <c r="M326" s="55"/>
      <c r="N326" s="55"/>
      <c r="O326" s="55"/>
      <c r="P326" s="55"/>
      <c r="Q326" s="55"/>
      <c r="R326" s="55"/>
      <c r="S326" s="55"/>
      <c r="T326" s="55"/>
      <c r="U326" s="55"/>
    </row>
    <row r="327" spans="1:21" x14ac:dyDescent="0.15">
      <c r="A327" s="297" t="e">
        <f>'Tab1'!#REF!</f>
        <v>#REF!</v>
      </c>
      <c r="B327" s="91" t="e">
        <f>IF('Tab1'!#REF!&lt;&gt;"",'Tab1'!#REF!,"")</f>
        <v>#REF!</v>
      </c>
      <c r="C327" s="91" t="e">
        <f>'Tab1'!#REF!</f>
        <v>#REF!</v>
      </c>
      <c r="D327" s="91" t="e">
        <f>'Tab1'!#REF!</f>
        <v>#REF!</v>
      </c>
      <c r="E327" s="91" t="e">
        <f>'Tab1'!#REF!</f>
        <v>#REF!</v>
      </c>
      <c r="F327" s="6" t="e">
        <f>'Tab1'!#REF!</f>
        <v>#REF!</v>
      </c>
      <c r="G327" s="91" t="e">
        <f>RoundMe(1/'Tab1'!#REF!,4)</f>
        <v>#VALUE!</v>
      </c>
      <c r="H327" s="91" t="e">
        <f>'Tab1'!#REF!</f>
        <v>#REF!</v>
      </c>
      <c r="I327" s="91" t="e">
        <f>RoundMe('Tab1'!#REF!,4)</f>
        <v>#VALUE!</v>
      </c>
      <c r="J327" s="91" t="e">
        <f>'Tab1'!#REF!</f>
        <v>#REF!</v>
      </c>
      <c r="K327" s="91" t="e">
        <f>'Tab1'!#REF!</f>
        <v>#REF!</v>
      </c>
      <c r="L327" s="55"/>
      <c r="M327" s="55"/>
      <c r="N327" s="55"/>
      <c r="O327" s="55"/>
      <c r="P327" s="55"/>
      <c r="Q327" s="55"/>
      <c r="R327" s="55"/>
      <c r="S327" s="55"/>
      <c r="T327" s="55"/>
      <c r="U327" s="55"/>
    </row>
    <row r="328" spans="1:21" x14ac:dyDescent="0.15">
      <c r="A328" s="297" t="e">
        <f>'Tab1'!#REF!</f>
        <v>#REF!</v>
      </c>
      <c r="B328" s="91" t="e">
        <f>IF('Tab1'!#REF!&lt;&gt;"",'Tab1'!#REF!,"")</f>
        <v>#REF!</v>
      </c>
      <c r="C328" s="91" t="e">
        <f>'Tab1'!#REF!</f>
        <v>#REF!</v>
      </c>
      <c r="D328" s="91" t="e">
        <f>'Tab1'!#REF!</f>
        <v>#REF!</v>
      </c>
      <c r="E328" s="91" t="e">
        <f>'Tab1'!#REF!</f>
        <v>#REF!</v>
      </c>
      <c r="F328" s="6" t="e">
        <f>'Tab1'!#REF!</f>
        <v>#REF!</v>
      </c>
      <c r="G328" s="91" t="e">
        <f>RoundMe(1/'Tab1'!#REF!,4)</f>
        <v>#VALUE!</v>
      </c>
      <c r="H328" s="91" t="e">
        <f>'Tab1'!#REF!</f>
        <v>#REF!</v>
      </c>
      <c r="I328" s="91" t="e">
        <f>RoundMe('Tab1'!#REF!,4)</f>
        <v>#VALUE!</v>
      </c>
      <c r="J328" s="91" t="e">
        <f>'Tab1'!#REF!</f>
        <v>#REF!</v>
      </c>
      <c r="K328" s="91" t="e">
        <f>'Tab1'!#REF!</f>
        <v>#REF!</v>
      </c>
      <c r="L328" s="55"/>
      <c r="M328" s="55"/>
      <c r="N328" s="55"/>
      <c r="O328" s="55"/>
      <c r="P328" s="55"/>
      <c r="Q328" s="55"/>
      <c r="R328" s="55"/>
      <c r="S328" s="55"/>
      <c r="T328" s="55"/>
      <c r="U328" s="55"/>
    </row>
    <row r="329" spans="1:21" x14ac:dyDescent="0.15">
      <c r="A329" s="297" t="e">
        <f>'Tab1'!#REF!</f>
        <v>#REF!</v>
      </c>
      <c r="B329" s="91" t="e">
        <f>IF('Tab1'!#REF!&lt;&gt;"",'Tab1'!#REF!,"")</f>
        <v>#REF!</v>
      </c>
      <c r="C329" s="91" t="e">
        <f>'Tab1'!#REF!</f>
        <v>#REF!</v>
      </c>
      <c r="D329" s="91" t="e">
        <f>'Tab1'!#REF!</f>
        <v>#REF!</v>
      </c>
      <c r="E329" s="91" t="e">
        <f>'Tab1'!#REF!</f>
        <v>#REF!</v>
      </c>
      <c r="F329" s="6" t="e">
        <f>'Tab1'!#REF!</f>
        <v>#REF!</v>
      </c>
      <c r="G329" s="91" t="e">
        <f>RoundMe(1/'Tab1'!#REF!,4)</f>
        <v>#VALUE!</v>
      </c>
      <c r="H329" s="91" t="e">
        <f>'Tab1'!#REF!</f>
        <v>#REF!</v>
      </c>
      <c r="I329" s="91" t="e">
        <f>RoundMe('Tab1'!#REF!,4)</f>
        <v>#VALUE!</v>
      </c>
      <c r="J329" s="91" t="e">
        <f>'Tab1'!#REF!</f>
        <v>#REF!</v>
      </c>
      <c r="K329" s="91" t="e">
        <f>'Tab1'!#REF!</f>
        <v>#REF!</v>
      </c>
      <c r="L329" s="55"/>
      <c r="M329" s="55"/>
      <c r="N329" s="55"/>
      <c r="O329" s="55"/>
      <c r="P329" s="55"/>
      <c r="Q329" s="55"/>
      <c r="R329" s="55"/>
      <c r="S329" s="55"/>
      <c r="T329" s="55"/>
      <c r="U329" s="55"/>
    </row>
    <row r="330" spans="1:21" x14ac:dyDescent="0.15">
      <c r="A330" s="297" t="e">
        <f>'Tab1'!#REF!</f>
        <v>#REF!</v>
      </c>
      <c r="B330" s="91" t="e">
        <f>IF('Tab1'!#REF!&lt;&gt;"",'Tab1'!#REF!,"")</f>
        <v>#REF!</v>
      </c>
      <c r="C330" s="91" t="e">
        <f>'Tab1'!#REF!</f>
        <v>#REF!</v>
      </c>
      <c r="D330" s="91" t="e">
        <f>'Tab1'!#REF!</f>
        <v>#REF!</v>
      </c>
      <c r="E330" s="91" t="e">
        <f>'Tab1'!#REF!</f>
        <v>#REF!</v>
      </c>
      <c r="F330" s="6" t="e">
        <f>'Tab1'!#REF!</f>
        <v>#REF!</v>
      </c>
      <c r="G330" s="91" t="e">
        <f>RoundMe(1/'Tab1'!#REF!,4)</f>
        <v>#VALUE!</v>
      </c>
      <c r="H330" s="91" t="e">
        <f>'Tab1'!#REF!</f>
        <v>#REF!</v>
      </c>
      <c r="I330" s="91" t="e">
        <f>RoundMe('Tab1'!#REF!,4)</f>
        <v>#VALUE!</v>
      </c>
      <c r="J330" s="91" t="e">
        <f>'Tab1'!#REF!</f>
        <v>#REF!</v>
      </c>
      <c r="K330" s="91" t="e">
        <f>'Tab1'!#REF!</f>
        <v>#REF!</v>
      </c>
      <c r="L330" s="55"/>
      <c r="M330" s="55"/>
      <c r="N330" s="55"/>
      <c r="O330" s="55"/>
      <c r="P330" s="55"/>
      <c r="Q330" s="55"/>
      <c r="R330" s="55"/>
      <c r="S330" s="55"/>
      <c r="T330" s="55"/>
      <c r="U330" s="55"/>
    </row>
    <row r="331" spans="1:21" x14ac:dyDescent="0.15">
      <c r="A331" s="297" t="e">
        <f>'Tab1'!#REF!</f>
        <v>#REF!</v>
      </c>
      <c r="B331" s="91" t="e">
        <f>IF('Tab1'!#REF!&lt;&gt;"",'Tab1'!#REF!,"")</f>
        <v>#REF!</v>
      </c>
      <c r="C331" s="91" t="e">
        <f>'Tab1'!#REF!</f>
        <v>#REF!</v>
      </c>
      <c r="D331" s="91" t="e">
        <f>'Tab1'!#REF!</f>
        <v>#REF!</v>
      </c>
      <c r="E331" s="91" t="e">
        <f>'Tab1'!#REF!</f>
        <v>#REF!</v>
      </c>
      <c r="F331" s="6" t="e">
        <f>'Tab1'!#REF!</f>
        <v>#REF!</v>
      </c>
      <c r="G331" s="91" t="e">
        <f>RoundMe(1/'Tab1'!#REF!,4)</f>
        <v>#VALUE!</v>
      </c>
      <c r="H331" s="91" t="e">
        <f>'Tab1'!#REF!</f>
        <v>#REF!</v>
      </c>
      <c r="I331" s="91" t="e">
        <f>RoundMe('Tab1'!#REF!,4)</f>
        <v>#VALUE!</v>
      </c>
      <c r="J331" s="91" t="e">
        <f>'Tab1'!#REF!</f>
        <v>#REF!</v>
      </c>
      <c r="K331" s="91" t="e">
        <f>'Tab1'!#REF!</f>
        <v>#REF!</v>
      </c>
      <c r="L331" s="55"/>
      <c r="M331" s="55"/>
      <c r="N331" s="55"/>
      <c r="O331" s="55"/>
      <c r="P331" s="55"/>
      <c r="Q331" s="55"/>
      <c r="R331" s="55"/>
      <c r="S331" s="55"/>
      <c r="T331" s="55"/>
      <c r="U331" s="55"/>
    </row>
    <row r="332" spans="1:21" x14ac:dyDescent="0.15">
      <c r="A332" s="297" t="e">
        <f>'Tab1'!#REF!</f>
        <v>#REF!</v>
      </c>
      <c r="B332" s="91" t="e">
        <f>IF('Tab1'!#REF!&lt;&gt;"",'Tab1'!#REF!,"")</f>
        <v>#REF!</v>
      </c>
      <c r="C332" s="91" t="e">
        <f>'Tab1'!#REF!</f>
        <v>#REF!</v>
      </c>
      <c r="D332" s="91" t="e">
        <f>'Tab1'!#REF!</f>
        <v>#REF!</v>
      </c>
      <c r="E332" s="91" t="e">
        <f>'Tab1'!#REF!</f>
        <v>#REF!</v>
      </c>
      <c r="F332" s="6" t="e">
        <f>'Tab1'!#REF!</f>
        <v>#REF!</v>
      </c>
      <c r="G332" s="91" t="e">
        <f>RoundMe(1/'Tab1'!#REF!,4)</f>
        <v>#VALUE!</v>
      </c>
      <c r="H332" s="91" t="e">
        <f>'Tab1'!#REF!</f>
        <v>#REF!</v>
      </c>
      <c r="I332" s="91" t="e">
        <f>RoundMe('Tab1'!#REF!,4)</f>
        <v>#VALUE!</v>
      </c>
      <c r="J332" s="91" t="e">
        <f>'Tab1'!#REF!</f>
        <v>#REF!</v>
      </c>
      <c r="K332" s="91" t="e">
        <f>'Tab1'!#REF!</f>
        <v>#REF!</v>
      </c>
      <c r="L332" s="55"/>
      <c r="M332" s="55"/>
      <c r="N332" s="55"/>
      <c r="O332" s="55"/>
      <c r="P332" s="55"/>
      <c r="Q332" s="55"/>
      <c r="R332" s="55"/>
      <c r="S332" s="55"/>
      <c r="T332" s="55"/>
      <c r="U332" s="55"/>
    </row>
    <row r="333" spans="1:21" x14ac:dyDescent="0.15">
      <c r="A333" s="297" t="e">
        <f>'Tab1'!#REF!</f>
        <v>#REF!</v>
      </c>
      <c r="B333" s="91" t="e">
        <f>IF('Tab1'!#REF!&lt;&gt;"",'Tab1'!#REF!,"")</f>
        <v>#REF!</v>
      </c>
      <c r="C333" s="91" t="e">
        <f>'Tab1'!#REF!</f>
        <v>#REF!</v>
      </c>
      <c r="D333" s="91" t="e">
        <f>'Tab1'!#REF!</f>
        <v>#REF!</v>
      </c>
      <c r="E333" s="91" t="e">
        <f>'Tab1'!#REF!</f>
        <v>#REF!</v>
      </c>
      <c r="F333" s="6" t="e">
        <f>'Tab1'!#REF!</f>
        <v>#REF!</v>
      </c>
      <c r="G333" s="91" t="e">
        <f>RoundMe(1/'Tab1'!#REF!,4)</f>
        <v>#VALUE!</v>
      </c>
      <c r="H333" s="91" t="e">
        <f>'Tab1'!#REF!</f>
        <v>#REF!</v>
      </c>
      <c r="I333" s="91" t="e">
        <f>RoundMe('Tab1'!#REF!,4)</f>
        <v>#VALUE!</v>
      </c>
      <c r="J333" s="91" t="e">
        <f>'Tab1'!#REF!</f>
        <v>#REF!</v>
      </c>
      <c r="K333" s="91" t="e">
        <f>'Tab1'!#REF!</f>
        <v>#REF!</v>
      </c>
      <c r="L333" s="55"/>
      <c r="M333" s="55"/>
      <c r="N333" s="55"/>
      <c r="O333" s="55"/>
      <c r="P333" s="55"/>
      <c r="Q333" s="55"/>
      <c r="R333" s="55"/>
      <c r="S333" s="55"/>
      <c r="T333" s="55"/>
      <c r="U333" s="55"/>
    </row>
    <row r="334" spans="1:21" x14ac:dyDescent="0.15">
      <c r="A334" s="297" t="e">
        <f>'Tab1'!#REF!</f>
        <v>#REF!</v>
      </c>
      <c r="B334" s="91" t="e">
        <f>IF('Tab1'!#REF!&lt;&gt;"",'Tab1'!#REF!,"")</f>
        <v>#REF!</v>
      </c>
      <c r="C334" s="91" t="e">
        <f>'Tab1'!#REF!</f>
        <v>#REF!</v>
      </c>
      <c r="D334" s="91" t="e">
        <f>'Tab1'!#REF!</f>
        <v>#REF!</v>
      </c>
      <c r="E334" s="91" t="e">
        <f>'Tab1'!#REF!</f>
        <v>#REF!</v>
      </c>
      <c r="F334" s="6" t="e">
        <f>'Tab1'!#REF!</f>
        <v>#REF!</v>
      </c>
      <c r="G334" s="91" t="e">
        <f>RoundMe(1/'Tab1'!#REF!,4)</f>
        <v>#VALUE!</v>
      </c>
      <c r="H334" s="91" t="e">
        <f>'Tab1'!#REF!</f>
        <v>#REF!</v>
      </c>
      <c r="I334" s="91" t="e">
        <f>RoundMe('Tab1'!#REF!,4)</f>
        <v>#VALUE!</v>
      </c>
      <c r="J334" s="91" t="e">
        <f>'Tab1'!#REF!</f>
        <v>#REF!</v>
      </c>
      <c r="K334" s="91" t="e">
        <f>'Tab1'!#REF!</f>
        <v>#REF!</v>
      </c>
      <c r="L334" s="55"/>
      <c r="M334" s="55"/>
      <c r="N334" s="55"/>
      <c r="O334" s="55"/>
      <c r="P334" s="55"/>
      <c r="Q334" s="55"/>
      <c r="R334" s="55"/>
      <c r="S334" s="55"/>
      <c r="T334" s="55"/>
      <c r="U334" s="55"/>
    </row>
    <row r="335" spans="1:21" x14ac:dyDescent="0.15">
      <c r="A335" s="345"/>
      <c r="D335" s="5"/>
      <c r="E335" s="5"/>
      <c r="F335" s="5"/>
      <c r="G335" s="91"/>
      <c r="H335" s="5"/>
      <c r="J335" s="5"/>
      <c r="L335" s="5"/>
      <c r="M335" s="92"/>
      <c r="N335" s="92"/>
      <c r="O335" s="92"/>
      <c r="P335" s="92"/>
      <c r="Q335" s="92"/>
      <c r="R335" s="92"/>
      <c r="S335" s="92"/>
      <c r="T335" s="92"/>
      <c r="U335" s="92"/>
    </row>
    <row r="336" spans="1:21" x14ac:dyDescent="0.15">
      <c r="A336" s="297"/>
      <c r="C336" s="298" t="e">
        <f>AVERAGE(C314:C334)</f>
        <v>#REF!</v>
      </c>
      <c r="D336" s="91" t="e">
        <f>AVERAGE(D314:D334)</f>
        <v>#REF!</v>
      </c>
      <c r="E336" s="91" t="e">
        <f>AVERAGE(E314:E334)</f>
        <v>#REF!</v>
      </c>
      <c r="F336" s="6" t="e">
        <f>AVERAGE(F314:F334)</f>
        <v>#REF!</v>
      </c>
      <c r="G336" s="91" t="e">
        <f>AVERAGE(G314:G334)</f>
        <v>#VALUE!</v>
      </c>
      <c r="H336" s="91" t="e">
        <f>STDEV(G314:G334)*100/G336*2</f>
        <v>#VALUE!</v>
      </c>
      <c r="I336" s="298" t="e">
        <f>AVERAGE(I314:I334)</f>
        <v>#VALUE!</v>
      </c>
      <c r="J336" s="298" t="e">
        <f>STDEV(I314:I334)*100/I336*2</f>
        <v>#VALUE!</v>
      </c>
      <c r="K336" s="91" t="e">
        <f>AVERAGE(K314:K334)</f>
        <v>#REF!</v>
      </c>
      <c r="L336" s="55"/>
      <c r="M336" s="55"/>
      <c r="N336" s="55"/>
      <c r="O336" s="55"/>
      <c r="P336" s="55"/>
      <c r="Q336" s="55"/>
      <c r="R336" s="55"/>
      <c r="S336" s="55"/>
      <c r="T336" s="55"/>
      <c r="U336" s="55"/>
    </row>
    <row r="337" spans="1:21" x14ac:dyDescent="0.15">
      <c r="A337" s="297"/>
      <c r="D337" s="91"/>
      <c r="E337" s="91"/>
      <c r="F337" s="6"/>
      <c r="G337" s="91"/>
      <c r="H337" s="91"/>
      <c r="I337" s="91"/>
      <c r="J337" s="91"/>
      <c r="K337" s="91"/>
      <c r="L337" s="91"/>
      <c r="M337" s="91"/>
      <c r="N337" s="91"/>
      <c r="U337" s="6"/>
    </row>
    <row r="338" spans="1:21" x14ac:dyDescent="0.15">
      <c r="A338" s="297"/>
      <c r="D338" s="91"/>
      <c r="E338" s="91"/>
      <c r="F338" s="6"/>
      <c r="G338" s="91"/>
      <c r="H338" s="91"/>
      <c r="I338" s="91"/>
      <c r="J338" s="91"/>
      <c r="K338" s="91"/>
      <c r="L338" s="91"/>
      <c r="M338" s="91"/>
      <c r="N338" s="91"/>
      <c r="U338" s="6"/>
    </row>
    <row r="339" spans="1:21" x14ac:dyDescent="0.15">
      <c r="A339" s="297"/>
      <c r="D339" s="91"/>
      <c r="E339" s="91"/>
      <c r="F339" s="6"/>
      <c r="G339" s="91"/>
      <c r="H339" s="91"/>
      <c r="I339" s="91"/>
      <c r="J339" s="91"/>
      <c r="K339" s="91"/>
      <c r="L339" s="91"/>
      <c r="M339" s="91"/>
      <c r="N339" s="91"/>
      <c r="U339" s="6"/>
    </row>
    <row r="340" spans="1:21" x14ac:dyDescent="0.15">
      <c r="A340" s="297"/>
      <c r="D340" s="91"/>
      <c r="E340" s="91"/>
      <c r="F340" s="6"/>
      <c r="G340" s="91"/>
      <c r="H340" s="91"/>
      <c r="I340" s="91"/>
      <c r="J340" s="91"/>
      <c r="K340" s="91"/>
      <c r="L340" s="91"/>
      <c r="M340" s="91"/>
      <c r="N340" s="91"/>
      <c r="U340" s="6"/>
    </row>
    <row r="341" spans="1:21" x14ac:dyDescent="0.15">
      <c r="A341" s="297"/>
      <c r="D341" s="91"/>
      <c r="E341" s="91"/>
      <c r="F341" s="6"/>
      <c r="G341" s="91"/>
      <c r="H341" s="91"/>
      <c r="I341" s="91"/>
      <c r="J341" s="91"/>
      <c r="K341" s="91"/>
      <c r="L341" s="91"/>
      <c r="M341" s="91"/>
      <c r="N341" s="91"/>
      <c r="U341" s="6"/>
    </row>
    <row r="342" spans="1:21" x14ac:dyDescent="0.15">
      <c r="A342" s="297"/>
      <c r="D342" s="91"/>
      <c r="E342" s="91"/>
      <c r="F342" s="6"/>
      <c r="G342" s="91"/>
      <c r="H342" s="91"/>
      <c r="I342" s="91"/>
      <c r="J342" s="91"/>
      <c r="K342" s="91"/>
      <c r="L342" s="91"/>
      <c r="M342" s="91"/>
      <c r="N342" s="91"/>
      <c r="U342" s="6"/>
    </row>
    <row r="343" spans="1:21" x14ac:dyDescent="0.15">
      <c r="A343" s="297"/>
      <c r="D343" s="91"/>
      <c r="E343" s="91"/>
      <c r="F343" s="6"/>
      <c r="G343" s="91"/>
      <c r="H343" s="91"/>
      <c r="I343" s="91"/>
      <c r="J343" s="91"/>
      <c r="K343" s="91"/>
      <c r="L343" s="91"/>
      <c r="M343" s="91"/>
      <c r="N343" s="91"/>
      <c r="U343" s="6"/>
    </row>
  </sheetData>
  <mergeCells count="2">
    <mergeCell ref="A3:A4"/>
    <mergeCell ref="K3:K4"/>
  </mergeCells>
  <conditionalFormatting sqref="K293 D293:E293 D298:E313 K298:K313 K335 D335:E335">
    <cfRule type="cellIs" dxfId="546" priority="7369" operator="lessThan">
      <formula>1</formula>
    </cfRule>
    <cfRule type="cellIs" dxfId="545" priority="7370" operator="lessThan">
      <formula>10</formula>
    </cfRule>
    <cfRule type="cellIs" dxfId="544" priority="7371" operator="greaterThanOrEqual">
      <formula>10</formula>
    </cfRule>
  </conditionalFormatting>
  <conditionalFormatting sqref="F293 F298:F313 F335">
    <cfRule type="cellIs" dxfId="543" priority="7318" stopIfTrue="1" operator="notBetween">
      <formula>0</formula>
      <formula>10</formula>
    </cfRule>
    <cfRule type="cellIs" dxfId="542" priority="7405" stopIfTrue="1" operator="lessThan">
      <formula>0.001</formula>
    </cfRule>
    <cfRule type="cellIs" dxfId="541" priority="7406" stopIfTrue="1" operator="lessThan">
      <formula>0.01</formula>
    </cfRule>
    <cfRule type="cellIs" dxfId="540" priority="7407" stopIfTrue="1" operator="lessThan">
      <formula>0.1</formula>
    </cfRule>
    <cfRule type="cellIs" dxfId="539" priority="7408" stopIfTrue="1" operator="lessThan">
      <formula>10</formula>
    </cfRule>
  </conditionalFormatting>
  <conditionalFormatting sqref="G293 G298:G313 G335">
    <cfRule type="cellIs" dxfId="538" priority="7313" stopIfTrue="1" operator="lessThan">
      <formula>0.001</formula>
    </cfRule>
    <cfRule type="cellIs" dxfId="537" priority="7314" stopIfTrue="1" operator="lessThan">
      <formula>0.01</formula>
    </cfRule>
    <cfRule type="cellIs" dxfId="536" priority="7315" stopIfTrue="1" operator="lessThan">
      <formula>0.1</formula>
    </cfRule>
    <cfRule type="cellIs" dxfId="535" priority="7390" stopIfTrue="1" operator="lessThan">
      <formula>1</formula>
    </cfRule>
    <cfRule type="cellIs" dxfId="534" priority="7391" stopIfTrue="1" operator="lessThan">
      <formula>10</formula>
    </cfRule>
    <cfRule type="cellIs" dxfId="533" priority="7392" stopIfTrue="1" operator="lessThan">
      <formula>100</formula>
    </cfRule>
    <cfRule type="cellIs" dxfId="532" priority="7410" stopIfTrue="1" operator="lessThan">
      <formula>1000</formula>
    </cfRule>
  </conditionalFormatting>
  <conditionalFormatting sqref="H293 J293 L293 L298:L313 J298:J313 H298:H313 H335 J335 L335">
    <cfRule type="cellIs" dxfId="531" priority="7385" stopIfTrue="1" operator="lessThan">
      <formula>0.01</formula>
    </cfRule>
    <cfRule type="cellIs" dxfId="530" priority="7386" stopIfTrue="1" operator="lessThan">
      <formula>0.1</formula>
    </cfRule>
    <cfRule type="cellIs" dxfId="529" priority="7387" stopIfTrue="1" operator="lessThan">
      <formula>1</formula>
    </cfRule>
    <cfRule type="cellIs" dxfId="528" priority="7388" stopIfTrue="1" operator="lessThan">
      <formula>10</formula>
    </cfRule>
    <cfRule type="cellIs" dxfId="527" priority="7389" stopIfTrue="1" operator="greaterThanOrEqual">
      <formula>10</formula>
    </cfRule>
  </conditionalFormatting>
  <conditionalFormatting sqref="I293 I298:I313 I335">
    <cfRule type="expression" dxfId="526" priority="7343" stopIfTrue="1">
      <formula>$H293&lt;0.01</formula>
    </cfRule>
    <cfRule type="expression" dxfId="525" priority="7344" stopIfTrue="1">
      <formula>$H293&lt;0.1</formula>
    </cfRule>
    <cfRule type="expression" dxfId="524" priority="7345" stopIfTrue="1">
      <formula>$H293&lt;1</formula>
    </cfRule>
    <cfRule type="expression" dxfId="523" priority="7346" stopIfTrue="1">
      <formula>$H293&lt;10</formula>
    </cfRule>
    <cfRule type="expression" dxfId="522" priority="7347" stopIfTrue="1">
      <formula>$H293&gt;=10</formula>
    </cfRule>
  </conditionalFormatting>
  <conditionalFormatting sqref="K293 K298:K313 K335">
    <cfRule type="expression" dxfId="521" priority="7338" stopIfTrue="1">
      <formula>$J293&lt;0.01</formula>
    </cfRule>
    <cfRule type="expression" dxfId="520" priority="7339" stopIfTrue="1">
      <formula>$J293&lt;0.1</formula>
    </cfRule>
    <cfRule type="expression" dxfId="519" priority="7340" stopIfTrue="1">
      <formula>$J293&lt;1</formula>
    </cfRule>
    <cfRule type="expression" dxfId="518" priority="7341" stopIfTrue="1">
      <formula>$J293&lt;10</formula>
    </cfRule>
    <cfRule type="expression" dxfId="517" priority="7342" stopIfTrue="1">
      <formula>$J293&gt;=10</formula>
    </cfRule>
  </conditionalFormatting>
  <conditionalFormatting sqref="L293 L298:L313 L335">
    <cfRule type="expression" dxfId="516" priority="7337" stopIfTrue="1">
      <formula>$L$3="rhoe"</formula>
    </cfRule>
  </conditionalFormatting>
  <conditionalFormatting sqref="M293 M298:M313 M335">
    <cfRule type="expression" dxfId="515" priority="7332" stopIfTrue="1">
      <formula>$L293&lt;0.01</formula>
    </cfRule>
    <cfRule type="expression" dxfId="514" priority="7333" stopIfTrue="1">
      <formula>$L293&lt;0.1</formula>
    </cfRule>
    <cfRule type="expression" dxfId="513" priority="7334" stopIfTrue="1">
      <formula>$L293&lt;1</formula>
    </cfRule>
    <cfRule type="expression" dxfId="512" priority="7335" stopIfTrue="1">
      <formula>$L293&lt;10</formula>
    </cfRule>
    <cfRule type="expression" dxfId="511" priority="7336" stopIfTrue="1">
      <formula>$L293&gt;=10</formula>
    </cfRule>
  </conditionalFormatting>
  <conditionalFormatting sqref="O293 Q293 S293 S298:S313 Q298:Q313 O298:O313 O335 Q335 S335">
    <cfRule type="cellIs" dxfId="510" priority="7327" stopIfTrue="1" operator="notBetween">
      <formula>0</formula>
      <formula>10</formula>
    </cfRule>
    <cfRule type="cellIs" dxfId="509" priority="7402" stopIfTrue="1" operator="lessThan">
      <formula>1</formula>
    </cfRule>
    <cfRule type="cellIs" dxfId="508" priority="7403" stopIfTrue="1" operator="lessThan">
      <formula>10</formula>
    </cfRule>
  </conditionalFormatting>
  <conditionalFormatting sqref="P293 P298:P313 P335">
    <cfRule type="expression" dxfId="507" priority="7321" stopIfTrue="1">
      <formula>$O293&lt;0</formula>
    </cfRule>
    <cfRule type="expression" dxfId="506" priority="7329" stopIfTrue="1">
      <formula>$O293&lt;1</formula>
    </cfRule>
    <cfRule type="expression" dxfId="505" priority="7330" stopIfTrue="1">
      <formula>$O293&lt;10</formula>
    </cfRule>
  </conditionalFormatting>
  <conditionalFormatting sqref="R293 R298:R313 R335">
    <cfRule type="expression" dxfId="504" priority="7320" stopIfTrue="1">
      <formula>$Q293&lt;0</formula>
    </cfRule>
    <cfRule type="expression" dxfId="503" priority="7324" stopIfTrue="1">
      <formula>$Q293&lt;1</formula>
    </cfRule>
    <cfRule type="expression" dxfId="502" priority="7325" stopIfTrue="1">
      <formula>$Q293&lt;10</formula>
    </cfRule>
  </conditionalFormatting>
  <conditionalFormatting sqref="T293 T298:T313 T335">
    <cfRule type="expression" dxfId="501" priority="7319" stopIfTrue="1">
      <formula>$S293&lt;0</formula>
    </cfRule>
    <cfRule type="expression" dxfId="500" priority="7322" stopIfTrue="1">
      <formula>$S293&lt;1</formula>
    </cfRule>
    <cfRule type="expression" dxfId="499" priority="7323" stopIfTrue="1">
      <formula>$S293&lt;10</formula>
    </cfRule>
  </conditionalFormatting>
  <conditionalFormatting sqref="D295:E295">
    <cfRule type="cellIs" dxfId="498" priority="588" stopIfTrue="1" operator="lessThan">
      <formula>0.1</formula>
    </cfRule>
    <cfRule type="cellIs" dxfId="497" priority="589" stopIfTrue="1" operator="lessThan">
      <formula>1</formula>
    </cfRule>
    <cfRule type="cellIs" dxfId="496" priority="590" operator="lessThan">
      <formula>10</formula>
    </cfRule>
  </conditionalFormatting>
  <conditionalFormatting sqref="G295 I295">
    <cfRule type="cellIs" dxfId="495" priority="581" stopIfTrue="1" operator="between">
      <formula>0.001</formula>
      <formula>-0.001</formula>
    </cfRule>
    <cfRule type="cellIs" dxfId="494" priority="582" stopIfTrue="1" operator="between">
      <formula>0.01</formula>
      <formula>-0.01</formula>
    </cfRule>
    <cfRule type="cellIs" dxfId="493" priority="583" stopIfTrue="1" operator="between">
      <formula>0.1</formula>
      <formula>-0.1</formula>
    </cfRule>
    <cfRule type="cellIs" dxfId="492" priority="584" stopIfTrue="1" operator="between">
      <formula>1</formula>
      <formula>-1</formula>
    </cfRule>
    <cfRule type="cellIs" dxfId="491" priority="585" stopIfTrue="1" operator="between">
      <formula>10</formula>
      <formula>-10</formula>
    </cfRule>
    <cfRule type="cellIs" dxfId="490" priority="586" stopIfTrue="1" operator="between">
      <formula>100</formula>
      <formula>-100</formula>
    </cfRule>
    <cfRule type="cellIs" dxfId="489" priority="587" operator="between">
      <formula>1000</formula>
      <formula>-1000</formula>
    </cfRule>
  </conditionalFormatting>
  <conditionalFormatting sqref="H295 J295">
    <cfRule type="cellIs" dxfId="488" priority="576" stopIfTrue="1" operator="lessThan">
      <formula>0.001</formula>
    </cfRule>
    <cfRule type="cellIs" dxfId="487" priority="577" stopIfTrue="1" operator="lessThan">
      <formula>0.01</formula>
    </cfRule>
    <cfRule type="cellIs" dxfId="486" priority="578" stopIfTrue="1" operator="lessThan">
      <formula>0.1</formula>
    </cfRule>
    <cfRule type="cellIs" dxfId="485" priority="579" stopIfTrue="1" operator="lessThan">
      <formula>1</formula>
    </cfRule>
    <cfRule type="cellIs" dxfId="484" priority="580" operator="lessThan">
      <formula>10</formula>
    </cfRule>
  </conditionalFormatting>
  <conditionalFormatting sqref="K295">
    <cfRule type="cellIs" dxfId="483" priority="574" stopIfTrue="1" operator="lessThan">
      <formula>1</formula>
    </cfRule>
    <cfRule type="cellIs" dxfId="482" priority="575" operator="lessThan">
      <formula>10</formula>
    </cfRule>
  </conditionalFormatting>
  <conditionalFormatting sqref="F295">
    <cfRule type="cellIs" dxfId="481" priority="570" stopIfTrue="1" operator="lessThan">
      <formula>0.001</formula>
    </cfRule>
    <cfRule type="cellIs" dxfId="480" priority="571" stopIfTrue="1" operator="lessThan">
      <formula>0.01</formula>
    </cfRule>
    <cfRule type="cellIs" dxfId="479" priority="572" stopIfTrue="1" operator="lessThan">
      <formula>0.1</formula>
    </cfRule>
    <cfRule type="cellIs" dxfId="478" priority="573" operator="lessThan">
      <formula>10</formula>
    </cfRule>
  </conditionalFormatting>
  <conditionalFormatting sqref="D296:E296">
    <cfRule type="cellIs" dxfId="477" priority="525" stopIfTrue="1" operator="lessThan">
      <formula>0.1</formula>
    </cfRule>
    <cfRule type="cellIs" dxfId="476" priority="526" stopIfTrue="1" operator="lessThan">
      <formula>1</formula>
    </cfRule>
    <cfRule type="cellIs" dxfId="475" priority="527" operator="lessThan">
      <formula>10</formula>
    </cfRule>
  </conditionalFormatting>
  <conditionalFormatting sqref="G296 I296">
    <cfRule type="cellIs" dxfId="474" priority="518" stopIfTrue="1" operator="between">
      <formula>0.001</formula>
      <formula>-0.001</formula>
    </cfRule>
    <cfRule type="cellIs" dxfId="473" priority="519" stopIfTrue="1" operator="between">
      <formula>0.01</formula>
      <formula>-0.01</formula>
    </cfRule>
    <cfRule type="cellIs" dxfId="472" priority="520" stopIfTrue="1" operator="between">
      <formula>0.1</formula>
      <formula>-0.1</formula>
    </cfRule>
    <cfRule type="cellIs" dxfId="471" priority="521" stopIfTrue="1" operator="between">
      <formula>1</formula>
      <formula>-1</formula>
    </cfRule>
    <cfRule type="cellIs" dxfId="470" priority="522" stopIfTrue="1" operator="between">
      <formula>10</formula>
      <formula>-10</formula>
    </cfRule>
    <cfRule type="cellIs" dxfId="469" priority="523" stopIfTrue="1" operator="between">
      <formula>100</formula>
      <formula>-100</formula>
    </cfRule>
    <cfRule type="cellIs" dxfId="468" priority="524" operator="between">
      <formula>1000</formula>
      <formula>-1000</formula>
    </cfRule>
  </conditionalFormatting>
  <conditionalFormatting sqref="H296 J296">
    <cfRule type="cellIs" dxfId="467" priority="513" stopIfTrue="1" operator="lessThan">
      <formula>0.001</formula>
    </cfRule>
    <cfRule type="cellIs" dxfId="466" priority="514" stopIfTrue="1" operator="lessThan">
      <formula>0.01</formula>
    </cfRule>
    <cfRule type="cellIs" dxfId="465" priority="515" stopIfTrue="1" operator="lessThan">
      <formula>0.1</formula>
    </cfRule>
    <cfRule type="cellIs" dxfId="464" priority="516" stopIfTrue="1" operator="lessThan">
      <formula>1</formula>
    </cfRule>
    <cfRule type="cellIs" dxfId="463" priority="517" operator="lessThan">
      <formula>10</formula>
    </cfRule>
  </conditionalFormatting>
  <conditionalFormatting sqref="K296">
    <cfRule type="cellIs" dxfId="462" priority="511" stopIfTrue="1" operator="lessThan">
      <formula>1</formula>
    </cfRule>
    <cfRule type="cellIs" dxfId="461" priority="512" operator="lessThan">
      <formula>10</formula>
    </cfRule>
  </conditionalFormatting>
  <conditionalFormatting sqref="F296">
    <cfRule type="cellIs" dxfId="460" priority="507" stopIfTrue="1" operator="lessThan">
      <formula>0.001</formula>
    </cfRule>
    <cfRule type="cellIs" dxfId="459" priority="508" stopIfTrue="1" operator="lessThan">
      <formula>0.01</formula>
    </cfRule>
    <cfRule type="cellIs" dxfId="458" priority="509" stopIfTrue="1" operator="lessThan">
      <formula>0.1</formula>
    </cfRule>
    <cfRule type="cellIs" dxfId="457" priority="510" operator="lessThan">
      <formula>10</formula>
    </cfRule>
  </conditionalFormatting>
  <conditionalFormatting sqref="D297:E297">
    <cfRule type="cellIs" dxfId="456" priority="462" stopIfTrue="1" operator="lessThan">
      <formula>0.1</formula>
    </cfRule>
    <cfRule type="cellIs" dxfId="455" priority="463" stopIfTrue="1" operator="lessThan">
      <formula>1</formula>
    </cfRule>
    <cfRule type="cellIs" dxfId="454" priority="464" operator="lessThan">
      <formula>10</formula>
    </cfRule>
  </conditionalFormatting>
  <conditionalFormatting sqref="G297 I297">
    <cfRule type="cellIs" dxfId="453" priority="455" stopIfTrue="1" operator="between">
      <formula>0.001</formula>
      <formula>-0.001</formula>
    </cfRule>
    <cfRule type="cellIs" dxfId="452" priority="456" stopIfTrue="1" operator="between">
      <formula>0.01</formula>
      <formula>-0.01</formula>
    </cfRule>
    <cfRule type="cellIs" dxfId="451" priority="457" stopIfTrue="1" operator="between">
      <formula>0.1</formula>
      <formula>-0.1</formula>
    </cfRule>
    <cfRule type="cellIs" dxfId="450" priority="458" stopIfTrue="1" operator="between">
      <formula>1</formula>
      <formula>-1</formula>
    </cfRule>
    <cfRule type="cellIs" dxfId="449" priority="459" stopIfTrue="1" operator="between">
      <formula>10</formula>
      <formula>-10</formula>
    </cfRule>
    <cfRule type="cellIs" dxfId="448" priority="460" stopIfTrue="1" operator="between">
      <formula>100</formula>
      <formula>-100</formula>
    </cfRule>
    <cfRule type="cellIs" dxfId="447" priority="461" operator="between">
      <formula>1000</formula>
      <formula>-1000</formula>
    </cfRule>
  </conditionalFormatting>
  <conditionalFormatting sqref="H297 J297">
    <cfRule type="cellIs" dxfId="446" priority="450" stopIfTrue="1" operator="lessThan">
      <formula>0.001</formula>
    </cfRule>
    <cfRule type="cellIs" dxfId="445" priority="451" stopIfTrue="1" operator="lessThan">
      <formula>0.01</formula>
    </cfRule>
    <cfRule type="cellIs" dxfId="444" priority="452" stopIfTrue="1" operator="lessThan">
      <formula>0.1</formula>
    </cfRule>
    <cfRule type="cellIs" dxfId="443" priority="453" stopIfTrue="1" operator="lessThan">
      <formula>1</formula>
    </cfRule>
    <cfRule type="cellIs" dxfId="442" priority="454" operator="lessThan">
      <formula>10</formula>
    </cfRule>
  </conditionalFormatting>
  <conditionalFormatting sqref="K297">
    <cfRule type="cellIs" dxfId="441" priority="448" stopIfTrue="1" operator="lessThan">
      <formula>1</formula>
    </cfRule>
    <cfRule type="cellIs" dxfId="440" priority="449" operator="lessThan">
      <formula>10</formula>
    </cfRule>
  </conditionalFormatting>
  <conditionalFormatting sqref="F297">
    <cfRule type="cellIs" dxfId="439" priority="444" stopIfTrue="1" operator="lessThan">
      <formula>0.001</formula>
    </cfRule>
    <cfRule type="cellIs" dxfId="438" priority="445" stopIfTrue="1" operator="lessThan">
      <formula>0.01</formula>
    </cfRule>
    <cfRule type="cellIs" dxfId="437" priority="446" stopIfTrue="1" operator="lessThan">
      <formula>0.1</formula>
    </cfRule>
    <cfRule type="cellIs" dxfId="436" priority="447" operator="lessThan">
      <formula>10</formula>
    </cfRule>
  </conditionalFormatting>
  <conditionalFormatting sqref="F337:F343">
    <cfRule type="cellIs" dxfId="435" priority="217" stopIfTrue="1" operator="lessThan">
      <formula>0.001</formula>
    </cfRule>
    <cfRule type="cellIs" dxfId="434" priority="218" stopIfTrue="1" operator="lessThan">
      <formula>0.01</formula>
    </cfRule>
    <cfRule type="cellIs" dxfId="433" priority="219" stopIfTrue="1" operator="lessThan">
      <formula>0.1</formula>
    </cfRule>
    <cfRule type="cellIs" dxfId="432" priority="220" operator="lessThan">
      <formula>10</formula>
    </cfRule>
  </conditionalFormatting>
  <conditionalFormatting sqref="I337:I343 K337:K343 M337:M343">
    <cfRule type="cellIs" dxfId="431" priority="202" stopIfTrue="1" operator="lessThan">
      <formula>0.001</formula>
    </cfRule>
    <cfRule type="cellIs" dxfId="430" priority="203" stopIfTrue="1" operator="lessThan">
      <formula>0.01</formula>
    </cfRule>
    <cfRule type="cellIs" dxfId="429" priority="204" stopIfTrue="1" operator="lessThan">
      <formula>0.1</formula>
    </cfRule>
    <cfRule type="cellIs" dxfId="428" priority="205" stopIfTrue="1" operator="lessThan">
      <formula>1</formula>
    </cfRule>
    <cfRule type="cellIs" dxfId="427" priority="206" operator="lessThan">
      <formula>10</formula>
    </cfRule>
  </conditionalFormatting>
  <conditionalFormatting sqref="N337:N343">
    <cfRule type="cellIs" dxfId="426" priority="200" stopIfTrue="1" operator="lessThan">
      <formula>1</formula>
    </cfRule>
    <cfRule type="cellIs" dxfId="425" priority="201" operator="lessThan">
      <formula>10</formula>
    </cfRule>
  </conditionalFormatting>
  <conditionalFormatting sqref="P337:P343 R337:R343 T337:T343">
    <cfRule type="expression" dxfId="424" priority="171" stopIfTrue="1">
      <formula>AND(O337&lt;0.1,O337&gt;-0.1)</formula>
    </cfRule>
    <cfRule type="expression" dxfId="423" priority="172" stopIfTrue="1">
      <formula>AND(O337&gt;-1,O337&lt;1)</formula>
    </cfRule>
    <cfRule type="expression" dxfId="422" priority="175" stopIfTrue="1">
      <formula>AND(O337&gt;-10,O337&lt;10)</formula>
    </cfRule>
    <cfRule type="expression" dxfId="421" priority="176" stopIfTrue="1">
      <formula>AND(O337&gt;-100,O337&lt;100)</formula>
    </cfRule>
    <cfRule type="expression" dxfId="420" priority="177">
      <formula>AND(O337&gt;-1000,O337&lt;1000)</formula>
    </cfRule>
  </conditionalFormatting>
  <conditionalFormatting sqref="D337:E343">
    <cfRule type="cellIs" dxfId="419" priority="221" stopIfTrue="1" operator="lessThan">
      <formula>0.1</formula>
    </cfRule>
    <cfRule type="cellIs" dxfId="418" priority="222" stopIfTrue="1" operator="lessThan">
      <formula>1</formula>
    </cfRule>
    <cfRule type="cellIs" dxfId="417" priority="223" operator="lessThan">
      <formula>10</formula>
    </cfRule>
  </conditionalFormatting>
  <conditionalFormatting sqref="G337:G343">
    <cfRule type="cellIs" dxfId="416" priority="212" stopIfTrue="1" operator="lessThan">
      <formula>0.001</formula>
    </cfRule>
    <cfRule type="cellIs" dxfId="415" priority="213" stopIfTrue="1" operator="lessThan">
      <formula>0.01</formula>
    </cfRule>
    <cfRule type="cellIs" dxfId="414" priority="214" stopIfTrue="1" operator="lessThan">
      <formula>0.1</formula>
    </cfRule>
    <cfRule type="cellIs" dxfId="413" priority="215" stopIfTrue="1" operator="lessThan">
      <formula>1</formula>
    </cfRule>
    <cfRule type="cellIs" dxfId="412" priority="216" operator="lessThan">
      <formula>10</formula>
    </cfRule>
  </conditionalFormatting>
  <conditionalFormatting sqref="H337:H343 J337:J343 L337:L343">
    <cfRule type="cellIs" dxfId="411" priority="207" stopIfTrue="1" operator="between">
      <formula>0.01</formula>
      <formula>-0.01</formula>
    </cfRule>
    <cfRule type="cellIs" dxfId="410" priority="208" stopIfTrue="1" operator="between">
      <formula>0.1</formula>
      <formula>-0.1</formula>
    </cfRule>
    <cfRule type="cellIs" dxfId="409" priority="209" stopIfTrue="1" operator="between">
      <formula>1</formula>
      <formula>-1</formula>
    </cfRule>
    <cfRule type="cellIs" dxfId="408" priority="210" stopIfTrue="1" operator="between">
      <formula>10</formula>
      <formula>-10</formula>
    </cfRule>
    <cfRule type="cellIs" dxfId="407" priority="211" operator="between">
      <formula>100</formula>
      <formula>-100</formula>
    </cfRule>
  </conditionalFormatting>
  <conditionalFormatting sqref="Q337:Q343 S337:S343">
    <cfRule type="cellIs" dxfId="406" priority="197" stopIfTrue="1" operator="between">
      <formula>0.1</formula>
      <formula>-0.1</formula>
    </cfRule>
    <cfRule type="cellIs" dxfId="405" priority="198" stopIfTrue="1" operator="between">
      <formula>1</formula>
      <formula>-1</formula>
    </cfRule>
    <cfRule type="cellIs" dxfId="404" priority="199" operator="between">
      <formula>10</formula>
      <formula>-10</formula>
    </cfRule>
  </conditionalFormatting>
  <conditionalFormatting sqref="O337:O343 Q337:Q343 S337:S343">
    <cfRule type="cellIs" dxfId="403" priority="192" stopIfTrue="1" operator="between">
      <formula>0.1</formula>
      <formula>-0.1</formula>
    </cfRule>
    <cfRule type="cellIs" dxfId="402" priority="193" stopIfTrue="1" operator="between">
      <formula>1</formula>
      <formula>-1</formula>
    </cfRule>
    <cfRule type="cellIs" dxfId="401" priority="194" stopIfTrue="1" operator="between">
      <formula>10</formula>
      <formula>-10</formula>
    </cfRule>
    <cfRule type="cellIs" dxfId="400" priority="195" stopIfTrue="1" operator="between">
      <formula>100</formula>
      <formula>-100</formula>
    </cfRule>
    <cfRule type="cellIs" dxfId="399" priority="196" operator="between">
      <formula>1000</formula>
      <formula>-1000</formula>
    </cfRule>
  </conditionalFormatting>
  <conditionalFormatting sqref="H6:H292 J6:J292">
    <cfRule type="cellIs" dxfId="398" priority="64" stopIfTrue="1" operator="lessThan">
      <formula>0.001</formula>
    </cfRule>
    <cfRule type="cellIs" dxfId="397" priority="65" stopIfTrue="1" operator="lessThan">
      <formula>0.01</formula>
    </cfRule>
    <cfRule type="cellIs" dxfId="396" priority="66" stopIfTrue="1" operator="lessThan">
      <formula>0.1</formula>
    </cfRule>
    <cfRule type="cellIs" dxfId="395" priority="67" stopIfTrue="1" operator="lessThan">
      <formula>1</formula>
    </cfRule>
    <cfRule type="cellIs" dxfId="394" priority="68" operator="lessThan">
      <formula>10</formula>
    </cfRule>
  </conditionalFormatting>
  <conditionalFormatting sqref="I6:I292">
    <cfRule type="cellIs" dxfId="393" priority="72" stopIfTrue="1" operator="lessThan">
      <formula>0.01</formula>
    </cfRule>
    <cfRule type="cellIs" dxfId="392" priority="73" stopIfTrue="1" operator="lessThan">
      <formula>0.1</formula>
    </cfRule>
    <cfRule type="cellIs" dxfId="391" priority="74" stopIfTrue="1" operator="lessThan">
      <formula>1</formula>
    </cfRule>
    <cfRule type="cellIs" dxfId="390" priority="75" stopIfTrue="1" operator="lessThan">
      <formula>10</formula>
    </cfRule>
    <cfRule type="cellIs" dxfId="389" priority="76" stopIfTrue="1" operator="greaterThanOrEqual">
      <formula>10</formula>
    </cfRule>
  </conditionalFormatting>
  <conditionalFormatting sqref="D6:E292">
    <cfRule type="cellIs" dxfId="388" priority="69" stopIfTrue="1" operator="lessThan">
      <formula>0.1</formula>
    </cfRule>
    <cfRule type="cellIs" dxfId="387" priority="79" stopIfTrue="1" operator="lessThan">
      <formula>1</formula>
    </cfRule>
    <cfRule type="cellIs" dxfId="386" priority="80" operator="lessThan">
      <formula>10</formula>
    </cfRule>
  </conditionalFormatting>
  <conditionalFormatting sqref="F6:F292">
    <cfRule type="cellIs" dxfId="385" priority="85" stopIfTrue="1" operator="lessThan">
      <formula>0.001</formula>
    </cfRule>
    <cfRule type="cellIs" dxfId="384" priority="86" stopIfTrue="1" operator="lessThan">
      <formula>0.01</formula>
    </cfRule>
    <cfRule type="cellIs" dxfId="383" priority="87" stopIfTrue="1" operator="lessThan">
      <formula>0.1</formula>
    </cfRule>
    <cfRule type="cellIs" dxfId="382" priority="88" operator="lessThan">
      <formula>10</formula>
    </cfRule>
  </conditionalFormatting>
  <conditionalFormatting sqref="G6:G292 I6:I292">
    <cfRule type="cellIs" dxfId="381" priority="70" stopIfTrue="1" operator="between">
      <formula>0.01</formula>
      <formula>-0.01</formula>
    </cfRule>
    <cfRule type="cellIs" dxfId="380" priority="71" stopIfTrue="1" operator="between">
      <formula>0.1</formula>
      <formula>-0.1</formula>
    </cfRule>
    <cfRule type="cellIs" dxfId="379" priority="81" stopIfTrue="1" operator="between">
      <formula>1</formula>
      <formula>-1</formula>
    </cfRule>
    <cfRule type="cellIs" dxfId="378" priority="82" stopIfTrue="1" operator="between">
      <formula>10</formula>
      <formula>-10</formula>
    </cfRule>
    <cfRule type="cellIs" dxfId="377" priority="83" stopIfTrue="1" operator="between">
      <formula>100</formula>
      <formula>-100</formula>
    </cfRule>
    <cfRule type="cellIs" dxfId="376" priority="84" operator="between">
      <formula>1000</formula>
      <formula>-1000</formula>
    </cfRule>
  </conditionalFormatting>
  <conditionalFormatting sqref="K6:K292">
    <cfRule type="cellIs" dxfId="375" priority="77" stopIfTrue="1" operator="lessThan">
      <formula>1</formula>
    </cfRule>
    <cfRule type="cellIs" dxfId="374" priority="78" operator="lessThan">
      <formula>10</formula>
    </cfRule>
  </conditionalFormatting>
  <conditionalFormatting sqref="F314:F334">
    <cfRule type="cellIs" dxfId="373" priority="43" stopIfTrue="1" operator="lessThan">
      <formula>0.001</formula>
    </cfRule>
    <cfRule type="cellIs" dxfId="372" priority="44" stopIfTrue="1" operator="lessThan">
      <formula>0.01</formula>
    </cfRule>
    <cfRule type="cellIs" dxfId="371" priority="45" stopIfTrue="1" operator="lessThan">
      <formula>0.1</formula>
    </cfRule>
    <cfRule type="cellIs" dxfId="370" priority="46" operator="lessThan">
      <formula>10</formula>
    </cfRule>
  </conditionalFormatting>
  <conditionalFormatting sqref="D314:E334">
    <cfRule type="cellIs" dxfId="369" priority="61" stopIfTrue="1" operator="lessThan">
      <formula>0.1</formula>
    </cfRule>
    <cfRule type="cellIs" dxfId="368" priority="62" stopIfTrue="1" operator="lessThan">
      <formula>1</formula>
    </cfRule>
    <cfRule type="cellIs" dxfId="367" priority="63" operator="lessThan">
      <formula>10</formula>
    </cfRule>
  </conditionalFormatting>
  <conditionalFormatting sqref="G314:G334 I314:I334">
    <cfRule type="cellIs" dxfId="366" priority="54" stopIfTrue="1" operator="between">
      <formula>0.001</formula>
      <formula>-0.001</formula>
    </cfRule>
    <cfRule type="cellIs" dxfId="365" priority="55" stopIfTrue="1" operator="between">
      <formula>0.01</formula>
      <formula>-0.01</formula>
    </cfRule>
    <cfRule type="cellIs" dxfId="364" priority="56" stopIfTrue="1" operator="between">
      <formula>0.1</formula>
      <formula>-0.1</formula>
    </cfRule>
    <cfRule type="cellIs" dxfId="363" priority="57" stopIfTrue="1" operator="between">
      <formula>1</formula>
      <formula>-1</formula>
    </cfRule>
    <cfRule type="cellIs" dxfId="362" priority="58" stopIfTrue="1" operator="between">
      <formula>10</formula>
      <formula>-10</formula>
    </cfRule>
    <cfRule type="cellIs" dxfId="361" priority="59" stopIfTrue="1" operator="between">
      <formula>100</formula>
      <formula>-100</formula>
    </cfRule>
    <cfRule type="cellIs" dxfId="360" priority="60" operator="between">
      <formula>1000</formula>
      <formula>-1000</formula>
    </cfRule>
  </conditionalFormatting>
  <conditionalFormatting sqref="H314:H334 J314:J334">
    <cfRule type="cellIs" dxfId="359" priority="49" stopIfTrue="1" operator="lessThan">
      <formula>0.001</formula>
    </cfRule>
    <cfRule type="cellIs" dxfId="358" priority="50" stopIfTrue="1" operator="lessThan">
      <formula>0.01</formula>
    </cfRule>
    <cfRule type="cellIs" dxfId="357" priority="51" stopIfTrue="1" operator="lessThan">
      <formula>0.1</formula>
    </cfRule>
    <cfRule type="cellIs" dxfId="356" priority="52" stopIfTrue="1" operator="lessThan">
      <formula>1</formula>
    </cfRule>
    <cfRule type="cellIs" dxfId="355" priority="53" operator="lessThan">
      <formula>10</formula>
    </cfRule>
  </conditionalFormatting>
  <conditionalFormatting sqref="K314:K334">
    <cfRule type="cellIs" dxfId="354" priority="47" stopIfTrue="1" operator="lessThan">
      <formula>1</formula>
    </cfRule>
    <cfRule type="cellIs" dxfId="353" priority="48" operator="lessThan">
      <formula>10</formula>
    </cfRule>
  </conditionalFormatting>
  <conditionalFormatting sqref="D336:E336">
    <cfRule type="cellIs" dxfId="352" priority="40" stopIfTrue="1" operator="lessThan">
      <formula>0.1</formula>
    </cfRule>
    <cfRule type="cellIs" dxfId="351" priority="41" stopIfTrue="1" operator="lessThan">
      <formula>1</formula>
    </cfRule>
    <cfRule type="cellIs" dxfId="350" priority="42" operator="lessThan">
      <formula>10</formula>
    </cfRule>
  </conditionalFormatting>
  <conditionalFormatting sqref="G336 I336">
    <cfRule type="cellIs" dxfId="349" priority="33" stopIfTrue="1" operator="between">
      <formula>0.001</formula>
      <formula>-0.001</formula>
    </cfRule>
    <cfRule type="cellIs" dxfId="348" priority="34" stopIfTrue="1" operator="between">
      <formula>0.01</formula>
      <formula>-0.01</formula>
    </cfRule>
    <cfRule type="cellIs" dxfId="347" priority="35" stopIfTrue="1" operator="between">
      <formula>0.1</formula>
      <formula>-0.1</formula>
    </cfRule>
    <cfRule type="cellIs" dxfId="346" priority="36" stopIfTrue="1" operator="between">
      <formula>1</formula>
      <formula>-1</formula>
    </cfRule>
    <cfRule type="cellIs" dxfId="345" priority="37" stopIfTrue="1" operator="between">
      <formula>10</formula>
      <formula>-10</formula>
    </cfRule>
    <cfRule type="cellIs" dxfId="344" priority="38" stopIfTrue="1" operator="between">
      <formula>100</formula>
      <formula>-100</formula>
    </cfRule>
    <cfRule type="cellIs" dxfId="343" priority="39" operator="between">
      <formula>1000</formula>
      <formula>-1000</formula>
    </cfRule>
  </conditionalFormatting>
  <conditionalFormatting sqref="H336 J336">
    <cfRule type="cellIs" dxfId="342" priority="28" stopIfTrue="1" operator="lessThan">
      <formula>0.001</formula>
    </cfRule>
    <cfRule type="cellIs" dxfId="341" priority="29" stopIfTrue="1" operator="lessThan">
      <formula>0.01</formula>
    </cfRule>
    <cfRule type="cellIs" dxfId="340" priority="30" stopIfTrue="1" operator="lessThan">
      <formula>0.1</formula>
    </cfRule>
    <cfRule type="cellIs" dxfId="339" priority="31" stopIfTrue="1" operator="lessThan">
      <formula>1</formula>
    </cfRule>
    <cfRule type="cellIs" dxfId="338" priority="32" operator="lessThan">
      <formula>10</formula>
    </cfRule>
  </conditionalFormatting>
  <conditionalFormatting sqref="K336">
    <cfRule type="cellIs" dxfId="337" priority="26" stopIfTrue="1" operator="lessThan">
      <formula>1</formula>
    </cfRule>
    <cfRule type="cellIs" dxfId="336" priority="27" operator="lessThan">
      <formula>10</formula>
    </cfRule>
  </conditionalFormatting>
  <conditionalFormatting sqref="F336">
    <cfRule type="cellIs" dxfId="335" priority="22" stopIfTrue="1" operator="lessThan">
      <formula>0.001</formula>
    </cfRule>
    <cfRule type="cellIs" dxfId="334" priority="23" stopIfTrue="1" operator="lessThan">
      <formula>0.01</formula>
    </cfRule>
    <cfRule type="cellIs" dxfId="333" priority="24" stopIfTrue="1" operator="lessThan">
      <formula>0.1</formula>
    </cfRule>
    <cfRule type="cellIs" dxfId="332" priority="25" operator="lessThan">
      <formula>10</formula>
    </cfRule>
  </conditionalFormatting>
  <conditionalFormatting sqref="D294:E294">
    <cfRule type="cellIs" dxfId="331" priority="19" stopIfTrue="1" operator="lessThan">
      <formula>0.1</formula>
    </cfRule>
    <cfRule type="cellIs" dxfId="330" priority="20" stopIfTrue="1" operator="lessThan">
      <formula>1</formula>
    </cfRule>
    <cfRule type="cellIs" dxfId="329" priority="21" operator="lessThan">
      <formula>10</formula>
    </cfRule>
  </conditionalFormatting>
  <conditionalFormatting sqref="G294 I294">
    <cfRule type="cellIs" dxfId="328" priority="12" stopIfTrue="1" operator="between">
      <formula>0.001</formula>
      <formula>-0.001</formula>
    </cfRule>
    <cfRule type="cellIs" dxfId="327" priority="13" stopIfTrue="1" operator="between">
      <formula>0.01</formula>
      <formula>-0.01</formula>
    </cfRule>
    <cfRule type="cellIs" dxfId="326" priority="14" stopIfTrue="1" operator="between">
      <formula>0.1</formula>
      <formula>-0.1</formula>
    </cfRule>
    <cfRule type="cellIs" dxfId="325" priority="15" stopIfTrue="1" operator="between">
      <formula>1</formula>
      <formula>-1</formula>
    </cfRule>
    <cfRule type="cellIs" dxfId="324" priority="16" stopIfTrue="1" operator="between">
      <formula>10</formula>
      <formula>-10</formula>
    </cfRule>
    <cfRule type="cellIs" dxfId="323" priority="17" stopIfTrue="1" operator="between">
      <formula>100</formula>
      <formula>-100</formula>
    </cfRule>
    <cfRule type="cellIs" dxfId="322" priority="18" operator="between">
      <formula>1000</formula>
      <formula>-1000</formula>
    </cfRule>
  </conditionalFormatting>
  <conditionalFormatting sqref="H294 J294">
    <cfRule type="cellIs" dxfId="321" priority="7" stopIfTrue="1" operator="lessThan">
      <formula>0.001</formula>
    </cfRule>
    <cfRule type="cellIs" dxfId="320" priority="8" stopIfTrue="1" operator="lessThan">
      <formula>0.01</formula>
    </cfRule>
    <cfRule type="cellIs" dxfId="319" priority="9" stopIfTrue="1" operator="lessThan">
      <formula>0.1</formula>
    </cfRule>
    <cfRule type="cellIs" dxfId="318" priority="10" stopIfTrue="1" operator="lessThan">
      <formula>1</formula>
    </cfRule>
    <cfRule type="cellIs" dxfId="317" priority="11" operator="lessThan">
      <formula>10</formula>
    </cfRule>
  </conditionalFormatting>
  <conditionalFormatting sqref="K294">
    <cfRule type="cellIs" dxfId="316" priority="5" stopIfTrue="1" operator="lessThan">
      <formula>1</formula>
    </cfRule>
    <cfRule type="cellIs" dxfId="315" priority="6" operator="lessThan">
      <formula>10</formula>
    </cfRule>
  </conditionalFormatting>
  <conditionalFormatting sqref="F294">
    <cfRule type="cellIs" dxfId="314" priority="1" stopIfTrue="1" operator="lessThan">
      <formula>0.001</formula>
    </cfRule>
    <cfRule type="cellIs" dxfId="313" priority="2" stopIfTrue="1" operator="lessThan">
      <formula>0.01</formula>
    </cfRule>
    <cfRule type="cellIs" dxfId="312" priority="3" stopIfTrue="1" operator="lessThan">
      <formula>0.1</formula>
    </cfRule>
    <cfRule type="cellIs" dxfId="311" priority="4" operator="lessThan">
      <formula>10</formula>
    </cfRule>
  </conditionalFormatting>
  <pageMargins left="0.25" right="0.25" top="0.75" bottom="0.75" header="0.3" footer="0.3"/>
  <pageSetup paperSize="9" scale="57" fitToHeight="0" orientation="portrait" horizontalDpi="4294967293"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autoPageBreaks="0"/>
  </sheetPr>
  <dimension ref="A1:AM341"/>
  <sheetViews>
    <sheetView zoomScaleNormal="100" workbookViewId="0">
      <pane xSplit="1" ySplit="2" topLeftCell="T3" activePane="bottomRight" state="frozen"/>
      <selection activeCell="Y55" sqref="Y55"/>
      <selection pane="topRight" activeCell="Y55" sqref="Y55"/>
      <selection pane="bottomLeft" activeCell="Y55" sqref="Y55"/>
      <selection pane="bottomRight" activeCell="A16" sqref="A16:XFD17"/>
    </sheetView>
  </sheetViews>
  <sheetFormatPr baseColWidth="10" defaultColWidth="11.5" defaultRowHeight="13" x14ac:dyDescent="0.15"/>
  <cols>
    <col min="1" max="1" width="17.33203125" style="115" bestFit="1" customWidth="1"/>
    <col min="2" max="2" width="6.1640625" style="325" customWidth="1"/>
    <col min="3" max="3" width="4.5" style="81" customWidth="1"/>
    <col min="4" max="4" width="6.5" style="81" bestFit="1" customWidth="1"/>
    <col min="5" max="5" width="4.6640625" style="81" bestFit="1" customWidth="1"/>
    <col min="6" max="6" width="6.33203125" style="81" bestFit="1" customWidth="1"/>
    <col min="7" max="7" width="4.6640625" style="81" bestFit="1" customWidth="1"/>
    <col min="8" max="8" width="6.83203125" style="81" customWidth="1"/>
    <col min="9" max="9" width="4.6640625" style="81" bestFit="1" customWidth="1"/>
    <col min="10" max="10" width="5.5" style="81" bestFit="1" customWidth="1"/>
    <col min="11" max="11" width="4.6640625" style="81" bestFit="1" customWidth="1"/>
    <col min="12" max="13" width="4.6640625" style="81" customWidth="1"/>
    <col min="14" max="14" width="7.6640625" style="81" bestFit="1" customWidth="1"/>
    <col min="15" max="15" width="4.6640625" style="81" customWidth="1"/>
    <col min="16" max="16" width="8.6640625" style="325" customWidth="1"/>
    <col min="17" max="17" width="4.5" style="81" bestFit="1" customWidth="1"/>
    <col min="18" max="18" width="10.1640625" style="81" customWidth="1"/>
    <col min="19" max="19" width="4.5" style="81" bestFit="1" customWidth="1"/>
    <col min="20" max="20" width="13.1640625" style="81" customWidth="1"/>
    <col min="21" max="21" width="4.5" style="81" bestFit="1" customWidth="1"/>
    <col min="22" max="22" width="7" style="81" bestFit="1" customWidth="1"/>
    <col min="23" max="23" width="4.5" style="81" bestFit="1" customWidth="1"/>
    <col min="24" max="24" width="7" style="81" bestFit="1" customWidth="1"/>
    <col min="25" max="25" width="4.5" style="81" bestFit="1" customWidth="1"/>
    <col min="26" max="26" width="9.1640625" style="81" customWidth="1"/>
    <col min="27" max="27" width="4.5" style="81" customWidth="1"/>
    <col min="28" max="28" width="10" style="81" customWidth="1"/>
    <col min="29" max="29" width="4.5" style="81" customWidth="1"/>
    <col min="30" max="30" width="7.1640625" style="81" bestFit="1" customWidth="1"/>
    <col min="31" max="31" width="5.5" style="81" bestFit="1" customWidth="1"/>
    <col min="32" max="32" width="9.6640625" style="427" customWidth="1"/>
    <col min="33" max="33" width="7.5" style="22" customWidth="1"/>
    <col min="34" max="34" width="11.5" style="22" bestFit="1" customWidth="1"/>
    <col min="35" max="35" width="7.5" style="435" customWidth="1"/>
    <col min="36" max="16384" width="11.5" style="14"/>
  </cols>
  <sheetData>
    <row r="1" spans="1:39" customFormat="1" x14ac:dyDescent="0.15">
      <c r="A1" s="99" t="s">
        <v>37</v>
      </c>
      <c r="B1" s="102" t="s">
        <v>38</v>
      </c>
      <c r="C1" s="100"/>
      <c r="D1" s="101"/>
      <c r="E1" s="101"/>
      <c r="F1" s="101"/>
      <c r="G1" s="101"/>
      <c r="H1" s="101"/>
      <c r="I1" s="101"/>
      <c r="J1" s="101"/>
      <c r="K1" s="101"/>
      <c r="L1" s="101"/>
      <c r="M1" s="101"/>
      <c r="N1" s="101"/>
      <c r="O1" s="101"/>
      <c r="P1" s="379" t="s">
        <v>39</v>
      </c>
      <c r="Q1" s="101"/>
      <c r="R1" s="81"/>
      <c r="S1" s="108"/>
      <c r="T1" s="101"/>
      <c r="U1" s="101"/>
      <c r="V1" s="101"/>
      <c r="W1" s="101"/>
      <c r="X1" s="101"/>
      <c r="Y1" s="101"/>
      <c r="Z1" s="101"/>
      <c r="AA1" s="101"/>
      <c r="AB1" s="101"/>
      <c r="AC1" s="101"/>
      <c r="AD1" s="101"/>
      <c r="AE1" s="101"/>
      <c r="AF1" s="102" t="s">
        <v>40</v>
      </c>
      <c r="AG1" s="101"/>
      <c r="AH1" s="101"/>
      <c r="AI1" s="430"/>
    </row>
    <row r="2" spans="1:39" s="22" customFormat="1" x14ac:dyDescent="0.15">
      <c r="A2" s="103"/>
      <c r="B2" s="378">
        <v>9.98</v>
      </c>
      <c r="C2" s="105" t="s">
        <v>445</v>
      </c>
      <c r="D2" s="378" t="s">
        <v>416</v>
      </c>
      <c r="E2" s="105" t="s">
        <v>445</v>
      </c>
      <c r="F2" s="378">
        <v>10.083</v>
      </c>
      <c r="G2" s="105" t="s">
        <v>445</v>
      </c>
      <c r="H2" s="378">
        <v>10.484</v>
      </c>
      <c r="I2" s="105" t="s">
        <v>445</v>
      </c>
      <c r="J2" s="378" t="s">
        <v>417</v>
      </c>
      <c r="K2" s="105" t="s">
        <v>445</v>
      </c>
      <c r="L2" s="105" t="s">
        <v>424</v>
      </c>
      <c r="M2" s="105" t="s">
        <v>445</v>
      </c>
      <c r="N2" s="251" t="s">
        <v>418</v>
      </c>
      <c r="O2" s="105" t="s">
        <v>445</v>
      </c>
      <c r="P2" s="380">
        <v>9.98</v>
      </c>
      <c r="Q2" s="105" t="s">
        <v>445</v>
      </c>
      <c r="R2" s="105" t="s">
        <v>416</v>
      </c>
      <c r="S2" s="105" t="s">
        <v>445</v>
      </c>
      <c r="T2" s="105">
        <v>10.083</v>
      </c>
      <c r="U2" s="105" t="s">
        <v>445</v>
      </c>
      <c r="V2" s="105" t="s">
        <v>583</v>
      </c>
      <c r="W2" s="105" t="s">
        <v>445</v>
      </c>
      <c r="X2" s="105" t="s">
        <v>417</v>
      </c>
      <c r="Y2" s="105" t="s">
        <v>445</v>
      </c>
      <c r="Z2" s="105" t="s">
        <v>582</v>
      </c>
      <c r="AA2" s="105" t="s">
        <v>445</v>
      </c>
      <c r="AB2" s="105" t="s">
        <v>425</v>
      </c>
      <c r="AC2" s="105" t="s">
        <v>445</v>
      </c>
      <c r="AD2" s="105" t="s">
        <v>426</v>
      </c>
      <c r="AE2" s="105" t="s">
        <v>445</v>
      </c>
      <c r="AF2" s="106" t="s">
        <v>418</v>
      </c>
      <c r="AG2" s="105" t="s">
        <v>445</v>
      </c>
      <c r="AH2" s="426" t="s">
        <v>428</v>
      </c>
      <c r="AI2" s="431" t="s">
        <v>445</v>
      </c>
    </row>
    <row r="3" spans="1:39" s="22" customFormat="1" x14ac:dyDescent="0.15">
      <c r="A3" s="107"/>
      <c r="B3" s="322"/>
      <c r="C3" s="108"/>
      <c r="D3" s="108"/>
      <c r="E3" s="108"/>
      <c r="F3" s="108"/>
      <c r="G3" s="108"/>
      <c r="H3" s="108"/>
      <c r="I3" s="108"/>
      <c r="J3" s="108"/>
      <c r="K3" s="108"/>
      <c r="L3" s="108"/>
      <c r="M3" s="108"/>
      <c r="N3" s="108"/>
      <c r="O3" s="108"/>
      <c r="P3" s="322"/>
      <c r="Q3" s="108"/>
      <c r="R3" s="108"/>
      <c r="S3" s="108"/>
      <c r="T3" s="108"/>
      <c r="U3" s="108"/>
      <c r="V3" s="108"/>
      <c r="W3" s="108"/>
      <c r="X3" s="108"/>
      <c r="Y3" s="108"/>
      <c r="Z3" s="108"/>
      <c r="AA3" s="108"/>
      <c r="AB3" s="108"/>
      <c r="AC3" s="108"/>
      <c r="AD3" s="108"/>
      <c r="AE3" s="108"/>
      <c r="AF3" s="381"/>
      <c r="AG3" s="110"/>
      <c r="AH3" s="110"/>
      <c r="AI3" s="432"/>
    </row>
    <row r="4" spans="1:39" s="22" customFormat="1" x14ac:dyDescent="0.15">
      <c r="A4" s="111" t="str">
        <f>AnalysisName</f>
        <v>259_U</v>
      </c>
      <c r="B4" s="323">
        <f ca="1">calc!P9</f>
        <v>19333.298165516553</v>
      </c>
      <c r="C4" s="112">
        <f ca="1">calc!Q9</f>
        <v>0.11717234045260098</v>
      </c>
      <c r="D4" s="112">
        <f ca="1">calc!P10</f>
        <v>32879.400931716758</v>
      </c>
      <c r="E4" s="112">
        <f ca="1">calc!Q10</f>
        <v>0.12126425056238195</v>
      </c>
      <c r="F4" s="112">
        <f ca="1">calc!P11</f>
        <v>18208.07234542392</v>
      </c>
      <c r="G4" s="112">
        <f ca="1">calc!Q11</f>
        <v>0.10006573095216191</v>
      </c>
      <c r="H4" s="112">
        <f ca="1">calc!P12</f>
        <v>18208.07234542392</v>
      </c>
      <c r="I4" s="112">
        <f ca="1">calc!Q12</f>
        <v>0.10006573095216191</v>
      </c>
      <c r="J4" s="112">
        <f ca="1">calc!P13</f>
        <v>70786.937494358222</v>
      </c>
      <c r="K4" s="112">
        <f ca="1">calc!Q13</f>
        <v>0.2231179259989092</v>
      </c>
      <c r="L4" s="112">
        <f ca="1">calc!P14</f>
        <v>757.42360990986253</v>
      </c>
      <c r="M4" s="112" t="str">
        <f ca="1">calc!Q14</f>
        <v/>
      </c>
      <c r="N4" s="112">
        <f ca="1">calc!P15</f>
        <v>2.1529266193555969</v>
      </c>
      <c r="O4" s="112">
        <f ca="1">calc!Q15</f>
        <v>1.8592160210723281</v>
      </c>
      <c r="P4" s="323">
        <f ca="1">calc!AB101</f>
        <v>880.55671846424798</v>
      </c>
      <c r="Q4" s="112">
        <f ca="1">calc!AB103</f>
        <v>19.863952475830118</v>
      </c>
      <c r="R4" s="112">
        <f ca="1">calc!AC101</f>
        <v>1499407.3575204532</v>
      </c>
      <c r="S4" s="112">
        <f ca="1">calc!AC103</f>
        <v>0.60964210607948521</v>
      </c>
      <c r="T4" s="112">
        <f ca="1">calc!AD101</f>
        <v>511.53340023517961</v>
      </c>
      <c r="U4" s="112">
        <f ca="1">calc!AD103</f>
        <v>31.196070643150108</v>
      </c>
      <c r="V4" s="112">
        <f ca="1">calc!AE101</f>
        <v>711.79534008053963</v>
      </c>
      <c r="W4" s="112">
        <f ca="1">calc!AE103</f>
        <v>15.402285945093809</v>
      </c>
      <c r="X4" s="112">
        <f ca="1">calc!AF101</f>
        <v>6774576.5024390109</v>
      </c>
      <c r="Y4" s="112">
        <f ca="1">calc!AF103</f>
        <v>0.62009064602760622</v>
      </c>
      <c r="Z4" s="112">
        <f ca="1">calc!AG101</f>
        <v>437.53659338634913</v>
      </c>
      <c r="AA4" s="112">
        <f ca="1">calc!AG103</f>
        <v>49.63476608149697</v>
      </c>
      <c r="AB4" s="112">
        <f ca="1">calc!AH101</f>
        <v>1465816.1612486553</v>
      </c>
      <c r="AC4" s="112">
        <f ca="1">calc!AH103</f>
        <v>0.62396984824214174</v>
      </c>
      <c r="AD4" s="112">
        <f ca="1">calc!AI101</f>
        <v>6703352.0283512659</v>
      </c>
      <c r="AE4" s="112">
        <f ca="1">calc!AI103</f>
        <v>0.62675451080790046</v>
      </c>
      <c r="AF4" s="428">
        <f ca="1">calc!J101</f>
        <v>4.5707863209195585</v>
      </c>
      <c r="AG4" s="429">
        <f ca="1">calc!J103</f>
        <v>1.5563792280576659E-2</v>
      </c>
      <c r="AH4" s="429">
        <f ca="1">calc!K101</f>
        <v>4.5730568276067274</v>
      </c>
      <c r="AI4" s="433">
        <f ca="1">calc!K103</f>
        <v>1.5854838638868093E-2</v>
      </c>
      <c r="AJ4" s="433">
        <f>calc!L101</f>
        <v>0</v>
      </c>
      <c r="AK4" s="433" t="str">
        <f>calc!L103</f>
        <v/>
      </c>
      <c r="AL4" s="433">
        <f>calc!M101</f>
        <v>0</v>
      </c>
      <c r="AM4" s="433" t="str">
        <f>calc!M103</f>
        <v/>
      </c>
    </row>
    <row r="5" spans="1:39" s="327" customFormat="1" x14ac:dyDescent="0.15">
      <c r="A5" s="326"/>
      <c r="B5" s="321"/>
      <c r="C5" s="104"/>
      <c r="D5" s="104"/>
      <c r="E5" s="104"/>
      <c r="F5" s="104"/>
      <c r="G5" s="104"/>
      <c r="H5" s="104"/>
      <c r="I5" s="104"/>
      <c r="J5" s="104"/>
      <c r="K5" s="104"/>
      <c r="L5" s="104"/>
      <c r="M5" s="104"/>
      <c r="N5" s="104"/>
      <c r="O5" s="104"/>
      <c r="P5" s="321"/>
      <c r="Q5" s="104"/>
      <c r="R5" s="104"/>
      <c r="S5" s="104"/>
      <c r="T5" s="104"/>
      <c r="U5" s="104"/>
      <c r="V5" s="104"/>
      <c r="W5" s="104"/>
      <c r="X5" s="104"/>
      <c r="Y5" s="104"/>
      <c r="Z5" s="104"/>
      <c r="AA5" s="104"/>
      <c r="AB5" s="104"/>
      <c r="AC5" s="104"/>
      <c r="AD5" s="104"/>
      <c r="AE5" s="104"/>
      <c r="AF5" s="106"/>
      <c r="AG5" s="105"/>
      <c r="AH5" s="105"/>
      <c r="AI5" s="431"/>
    </row>
    <row r="6" spans="1:39" s="22" customFormat="1" x14ac:dyDescent="0.15">
      <c r="A6" s="113" t="s">
        <v>605</v>
      </c>
      <c r="B6" s="324">
        <v>22762.735113389674</v>
      </c>
      <c r="C6" s="114">
        <v>8.5411727330629628E-2</v>
      </c>
      <c r="D6" s="114">
        <v>39067.660299467425</v>
      </c>
      <c r="E6" s="114">
        <v>8.7099638177303887E-2</v>
      </c>
      <c r="F6" s="114">
        <v>20619.485016681738</v>
      </c>
      <c r="G6" s="114">
        <v>0.11236134139869965</v>
      </c>
      <c r="H6" s="114">
        <v>20619.485016681738</v>
      </c>
      <c r="I6" s="114">
        <v>0.11236134139869965</v>
      </c>
      <c r="J6" s="114">
        <v>88963.11166755615</v>
      </c>
      <c r="K6" s="114">
        <v>0.13154054285525987</v>
      </c>
      <c r="L6" s="114">
        <v>5401.0339023085126</v>
      </c>
      <c r="M6" s="114">
        <v>10.250267219545588</v>
      </c>
      <c r="N6" s="114">
        <v>2.2771548381864299</v>
      </c>
      <c r="O6" s="114">
        <v>2.2697692614542038</v>
      </c>
      <c r="P6" s="324">
        <v>5950.6201865498897</v>
      </c>
      <c r="Q6" s="114">
        <v>3.2462273813116682</v>
      </c>
      <c r="R6" s="114">
        <v>2137090.4693487403</v>
      </c>
      <c r="S6" s="114">
        <v>0.65465952997651355</v>
      </c>
      <c r="T6" s="114">
        <v>4708.1903356237199</v>
      </c>
      <c r="U6" s="114">
        <v>3.7718498918953705</v>
      </c>
      <c r="V6" s="114">
        <v>5382.4333977215165</v>
      </c>
      <c r="W6" s="114">
        <v>2.45199009362485</v>
      </c>
      <c r="X6" s="114">
        <v>9715180.1922981106</v>
      </c>
      <c r="Y6" s="114">
        <v>0.65973050920718124</v>
      </c>
      <c r="Z6" s="114">
        <v>4037.2788308272015</v>
      </c>
      <c r="AA6" s="114">
        <v>7.1924884024669353</v>
      </c>
      <c r="AB6" s="114">
        <v>2092640.3756515514</v>
      </c>
      <c r="AC6" s="114">
        <v>0.66783246387954631</v>
      </c>
      <c r="AD6" s="114">
        <v>9622179.801799722</v>
      </c>
      <c r="AE6" s="114">
        <v>0.66601277579611873</v>
      </c>
      <c r="AF6" s="382">
        <v>4.5868009140340593</v>
      </c>
      <c r="AG6" s="163">
        <v>1.057910751040423E-2</v>
      </c>
      <c r="AH6" s="436">
        <v>4.5981489511770413</v>
      </c>
      <c r="AI6" s="434">
        <v>1.1310392034832559E-2</v>
      </c>
      <c r="AJ6" s="22">
        <v>0</v>
      </c>
      <c r="AL6" s="22">
        <v>0</v>
      </c>
    </row>
    <row r="7" spans="1:39" s="22" customFormat="1" x14ac:dyDescent="0.15">
      <c r="A7" s="113" t="s">
        <v>606</v>
      </c>
      <c r="B7" s="324">
        <v>23045.11979094633</v>
      </c>
      <c r="C7" s="114">
        <v>8.443359498813155E-2</v>
      </c>
      <c r="D7" s="114">
        <v>39653.578426864071</v>
      </c>
      <c r="E7" s="114">
        <v>4.6348271195566074E-2</v>
      </c>
      <c r="F7" s="114">
        <v>20992.185981453422</v>
      </c>
      <c r="G7" s="114">
        <v>8.9305046120452994E-2</v>
      </c>
      <c r="H7" s="114">
        <v>20992.185981453422</v>
      </c>
      <c r="I7" s="114">
        <v>8.9305046120452994E-2</v>
      </c>
      <c r="J7" s="114">
        <v>89074.45588759931</v>
      </c>
      <c r="K7" s="114">
        <v>4.4575678485665779E-2</v>
      </c>
      <c r="L7" s="114">
        <v>5391.6388772387809</v>
      </c>
      <c r="M7" s="114"/>
      <c r="N7" s="114">
        <v>2.2463157026770157</v>
      </c>
      <c r="O7" s="114">
        <v>2.226775402746743</v>
      </c>
      <c r="P7" s="324">
        <v>5884.4375569808899</v>
      </c>
      <c r="Q7" s="114">
        <v>3.3915687040307079</v>
      </c>
      <c r="R7" s="114">
        <v>2146707.9746606108</v>
      </c>
      <c r="S7" s="114">
        <v>0.67660368831622519</v>
      </c>
      <c r="T7" s="114">
        <v>4952.4318190018648</v>
      </c>
      <c r="U7" s="114">
        <v>3.3358825147469142</v>
      </c>
      <c r="V7" s="114">
        <v>5458.2136160178152</v>
      </c>
      <c r="W7" s="114">
        <v>2.4446244419019463</v>
      </c>
      <c r="X7" s="114">
        <v>9762809.9997851178</v>
      </c>
      <c r="Y7" s="114">
        <v>0.68386374943598094</v>
      </c>
      <c r="Z7" s="114">
        <v>4548.9736407536921</v>
      </c>
      <c r="AA7" s="114">
        <v>5.4241808667791052</v>
      </c>
      <c r="AB7" s="114">
        <v>2101596.1826177291</v>
      </c>
      <c r="AC7" s="114">
        <v>0.68914484199887538</v>
      </c>
      <c r="AD7" s="114">
        <v>9669186.5702567659</v>
      </c>
      <c r="AE7" s="114">
        <v>0.68968783720899318</v>
      </c>
      <c r="AF7" s="382">
        <v>4.5888559788646264</v>
      </c>
      <c r="AG7" s="163">
        <v>8.4593600326367986E-3</v>
      </c>
      <c r="AH7" s="436">
        <v>4.600867102819838</v>
      </c>
      <c r="AI7" s="434">
        <v>1.0026016325718937E-2</v>
      </c>
      <c r="AJ7" s="22">
        <v>0</v>
      </c>
      <c r="AL7" s="22">
        <v>0</v>
      </c>
    </row>
    <row r="8" spans="1:39" s="22" customFormat="1" x14ac:dyDescent="0.15">
      <c r="A8" s="113" t="s">
        <v>607</v>
      </c>
      <c r="B8" s="324">
        <v>22339.110150318451</v>
      </c>
      <c r="C8" s="114">
        <v>9.4995501775450575E-2</v>
      </c>
      <c r="D8" s="114">
        <v>36233.503964833086</v>
      </c>
      <c r="E8" s="114">
        <v>5.9345256064866063E-2</v>
      </c>
      <c r="F8" s="114">
        <v>20394.627655654938</v>
      </c>
      <c r="G8" s="114">
        <v>0.10490593836984596</v>
      </c>
      <c r="H8" s="114">
        <v>20394.627655654938</v>
      </c>
      <c r="I8" s="114">
        <v>0.10490593836984596</v>
      </c>
      <c r="J8" s="114">
        <v>76250.505265218802</v>
      </c>
      <c r="K8" s="114">
        <v>5.2313724191952952E-2</v>
      </c>
      <c r="L8" s="114">
        <v>5106.7154793821701</v>
      </c>
      <c r="M8" s="114"/>
      <c r="N8" s="114">
        <v>2.1044198579089883</v>
      </c>
      <c r="O8" s="114">
        <v>2.0461895665361634</v>
      </c>
      <c r="P8" s="324">
        <v>5353.9206222052744</v>
      </c>
      <c r="Q8" s="114">
        <v>3.1967876454084627</v>
      </c>
      <c r="R8" s="114">
        <v>1916575.0881744935</v>
      </c>
      <c r="S8" s="114">
        <v>0.57284208422713778</v>
      </c>
      <c r="T8" s="114">
        <v>4882.5346814683207</v>
      </c>
      <c r="U8" s="114">
        <v>3.8837966401935713</v>
      </c>
      <c r="V8" s="114">
        <v>5138.3468706839994</v>
      </c>
      <c r="W8" s="114">
        <v>2.6171522982706756</v>
      </c>
      <c r="X8" s="114">
        <v>8707434.1670681685</v>
      </c>
      <c r="Y8" s="114">
        <v>0.58045560101128091</v>
      </c>
      <c r="Z8" s="114">
        <v>3937.7503091629196</v>
      </c>
      <c r="AA8" s="114">
        <v>6.1443807478116641</v>
      </c>
      <c r="AB8" s="114">
        <v>1875203.2373389772</v>
      </c>
      <c r="AC8" s="114">
        <v>0.58468249022386931</v>
      </c>
      <c r="AD8" s="114">
        <v>8627245.9114937857</v>
      </c>
      <c r="AE8" s="114">
        <v>0.58594096967628639</v>
      </c>
      <c r="AF8" s="382">
        <v>4.5885054100869924</v>
      </c>
      <c r="AG8" s="163">
        <v>1.2679929622187445E-2</v>
      </c>
      <c r="AH8" s="436">
        <v>4.6006742925713588</v>
      </c>
      <c r="AI8" s="434">
        <v>1.3948942794013047E-2</v>
      </c>
      <c r="AJ8" s="22">
        <v>0</v>
      </c>
      <c r="AL8" s="22">
        <v>0</v>
      </c>
    </row>
    <row r="9" spans="1:39" s="22" customFormat="1" x14ac:dyDescent="0.15">
      <c r="A9" s="113" t="s">
        <v>608</v>
      </c>
      <c r="B9" s="324">
        <v>22775.522766505474</v>
      </c>
      <c r="C9" s="114">
        <v>9.6186946473777499E-2</v>
      </c>
      <c r="D9" s="114">
        <v>37536.896408282104</v>
      </c>
      <c r="E9" s="114">
        <v>4.5663982270164084E-2</v>
      </c>
      <c r="F9" s="114">
        <v>21139.777811584365</v>
      </c>
      <c r="G9" s="114">
        <v>8.4359186340676712E-2</v>
      </c>
      <c r="H9" s="114">
        <v>21139.777811584365</v>
      </c>
      <c r="I9" s="114">
        <v>8.4359186340676712E-2</v>
      </c>
      <c r="J9" s="114">
        <v>80042.293921888893</v>
      </c>
      <c r="K9" s="114">
        <v>3.6492806165527213E-2</v>
      </c>
      <c r="L9" s="114">
        <v>4881.1325697276534</v>
      </c>
      <c r="M9" s="114"/>
      <c r="N9" s="114">
        <v>2.132363130166202</v>
      </c>
      <c r="O9" s="114">
        <v>2.103572119354522</v>
      </c>
      <c r="P9" s="324">
        <v>5408.3714013125318</v>
      </c>
      <c r="Q9" s="114">
        <v>3.6994489871606904</v>
      </c>
      <c r="R9" s="114">
        <v>1909904.0695852649</v>
      </c>
      <c r="S9" s="114">
        <v>0.6649227158429285</v>
      </c>
      <c r="T9" s="114">
        <v>4427.0595571444464</v>
      </c>
      <c r="U9" s="114">
        <v>4.1387741472471697</v>
      </c>
      <c r="V9" s="114">
        <v>4959.5988407035957</v>
      </c>
      <c r="W9" s="114">
        <v>2.8562198374988665</v>
      </c>
      <c r="X9" s="114">
        <v>8680472.6902505327</v>
      </c>
      <c r="Y9" s="114">
        <v>0.6721808491137754</v>
      </c>
      <c r="Z9" s="114">
        <v>3674.9209908242897</v>
      </c>
      <c r="AA9" s="114">
        <v>5.7649192407935459</v>
      </c>
      <c r="AB9" s="114">
        <v>1867407.5743362796</v>
      </c>
      <c r="AC9" s="114">
        <v>0.67910718967558081</v>
      </c>
      <c r="AD9" s="114">
        <v>8596755.475337822</v>
      </c>
      <c r="AE9" s="114">
        <v>0.67920475898017929</v>
      </c>
      <c r="AF9" s="382">
        <v>4.5904019604630779</v>
      </c>
      <c r="AG9" s="163">
        <v>1.1315170567163108E-2</v>
      </c>
      <c r="AH9" s="436">
        <v>4.6035767713390214</v>
      </c>
      <c r="AI9" s="434">
        <v>9.2617698403973797E-3</v>
      </c>
      <c r="AJ9" s="22">
        <v>0</v>
      </c>
      <c r="AL9" s="22">
        <v>0</v>
      </c>
    </row>
    <row r="10" spans="1:39" s="22" customFormat="1" x14ac:dyDescent="0.15">
      <c r="A10" s="113" t="s">
        <v>609</v>
      </c>
      <c r="B10" s="324">
        <v>21565.371057622633</v>
      </c>
      <c r="C10" s="114">
        <v>0.10199725222440492</v>
      </c>
      <c r="D10" s="114">
        <v>35860.454690859668</v>
      </c>
      <c r="E10" s="114">
        <v>5.6773873527579677E-2</v>
      </c>
      <c r="F10" s="114">
        <v>19893.20472280536</v>
      </c>
      <c r="G10" s="114">
        <v>9.3411798068553487E-2</v>
      </c>
      <c r="H10" s="114">
        <v>19893.20472280536</v>
      </c>
      <c r="I10" s="114">
        <v>9.3411798068553487E-2</v>
      </c>
      <c r="J10" s="114">
        <v>77428.035174759716</v>
      </c>
      <c r="K10" s="114">
        <v>4.5304375278999998E-2</v>
      </c>
      <c r="L10" s="114">
        <v>4270.8015237183308</v>
      </c>
      <c r="M10" s="114"/>
      <c r="N10" s="114">
        <v>2.1591481714953003</v>
      </c>
      <c r="O10" s="114">
        <v>2.0678672838278285</v>
      </c>
      <c r="P10" s="324">
        <v>4544.9197865009373</v>
      </c>
      <c r="Q10" s="114">
        <v>3.464936681609748</v>
      </c>
      <c r="R10" s="114">
        <v>1807202.9303516091</v>
      </c>
      <c r="S10" s="114">
        <v>0.62399722764262366</v>
      </c>
      <c r="T10" s="114">
        <v>3857.121708035861</v>
      </c>
      <c r="U10" s="114">
        <v>4.38917861876625</v>
      </c>
      <c r="V10" s="114">
        <v>4230.3766505049061</v>
      </c>
      <c r="W10" s="114">
        <v>2.6033044595038857</v>
      </c>
      <c r="X10" s="114">
        <v>8205671.6811929364</v>
      </c>
      <c r="Y10" s="114">
        <v>0.63097585148580893</v>
      </c>
      <c r="Z10" s="114">
        <v>4111.2907428702219</v>
      </c>
      <c r="AA10" s="114">
        <v>5.0010580219210219</v>
      </c>
      <c r="AB10" s="114">
        <v>1767112.0990102435</v>
      </c>
      <c r="AC10" s="114">
        <v>0.63620006422125086</v>
      </c>
      <c r="AD10" s="114">
        <v>8124132.3552753069</v>
      </c>
      <c r="AE10" s="114">
        <v>0.63740506120950913</v>
      </c>
      <c r="AF10" s="382">
        <v>4.5868277706908325</v>
      </c>
      <c r="AG10" s="163">
        <v>1.4143157309282695E-2</v>
      </c>
      <c r="AH10" s="436">
        <v>4.5973812255997908</v>
      </c>
      <c r="AI10" s="434">
        <v>1.4464729599790751E-2</v>
      </c>
      <c r="AJ10" s="22">
        <v>0</v>
      </c>
      <c r="AL10" s="22">
        <v>0</v>
      </c>
    </row>
    <row r="11" spans="1:39" s="22" customFormat="1" x14ac:dyDescent="0.15">
      <c r="A11" s="113" t="s">
        <v>610</v>
      </c>
      <c r="B11" s="324">
        <v>21484.779537601305</v>
      </c>
      <c r="C11" s="114">
        <v>0.11475015165609728</v>
      </c>
      <c r="D11" s="114">
        <v>36121.041141609545</v>
      </c>
      <c r="E11" s="114">
        <v>6.4089703085623784E-2</v>
      </c>
      <c r="F11" s="114">
        <v>19927.996454374919</v>
      </c>
      <c r="G11" s="114">
        <v>9.371675001612198E-2</v>
      </c>
      <c r="H11" s="114">
        <v>19927.996454374919</v>
      </c>
      <c r="I11" s="114">
        <v>9.371675001612198E-2</v>
      </c>
      <c r="J11" s="114">
        <v>78609.15833516109</v>
      </c>
      <c r="K11" s="114">
        <v>4.3922482023834461E-2</v>
      </c>
      <c r="L11" s="114">
        <v>4431.7446321880798</v>
      </c>
      <c r="M11" s="114"/>
      <c r="N11" s="114">
        <v>2.1762705572904282</v>
      </c>
      <c r="O11" s="114">
        <v>2.089645136789815</v>
      </c>
      <c r="P11" s="324">
        <v>4846.4884241817517</v>
      </c>
      <c r="Q11" s="114">
        <v>3.6046138457630827</v>
      </c>
      <c r="R11" s="114">
        <v>1814821.9855512429</v>
      </c>
      <c r="S11" s="114">
        <v>0.62610106098311202</v>
      </c>
      <c r="T11" s="114">
        <v>3892.3611410853218</v>
      </c>
      <c r="U11" s="114">
        <v>3.4820518699175649</v>
      </c>
      <c r="V11" s="114">
        <v>4410.1478801164458</v>
      </c>
      <c r="W11" s="114">
        <v>2.6913517876010222</v>
      </c>
      <c r="X11" s="114">
        <v>8239732.6443208428</v>
      </c>
      <c r="Y11" s="114">
        <v>0.63066136753620883</v>
      </c>
      <c r="Z11" s="114">
        <v>3434.5528873101753</v>
      </c>
      <c r="AA11" s="114">
        <v>5.8002864604635329</v>
      </c>
      <c r="AB11" s="114">
        <v>1774290.7965295175</v>
      </c>
      <c r="AC11" s="114">
        <v>0.63844508557384261</v>
      </c>
      <c r="AD11" s="114">
        <v>8157688.9330983721</v>
      </c>
      <c r="AE11" s="114">
        <v>0.63699157982270327</v>
      </c>
      <c r="AF11" s="382">
        <v>4.5862800789829645</v>
      </c>
      <c r="AG11" s="163">
        <v>1.3490841126168898E-2</v>
      </c>
      <c r="AH11" s="436">
        <v>4.5977630343238562</v>
      </c>
      <c r="AI11" s="434">
        <v>1.3591401043073194E-2</v>
      </c>
      <c r="AJ11" s="22">
        <v>0</v>
      </c>
      <c r="AL11" s="22">
        <v>0</v>
      </c>
    </row>
    <row r="12" spans="1:39" s="22" customFormat="1" x14ac:dyDescent="0.15">
      <c r="A12" s="113" t="s">
        <v>611</v>
      </c>
      <c r="B12" s="324">
        <v>20618.182524658285</v>
      </c>
      <c r="C12" s="114">
        <v>0.10855699554315941</v>
      </c>
      <c r="D12" s="114">
        <v>34241.132072214365</v>
      </c>
      <c r="E12" s="114">
        <v>5.2112418153664339E-2</v>
      </c>
      <c r="F12" s="114">
        <v>19156.039091343504</v>
      </c>
      <c r="G12" s="114">
        <v>0.11709198351329385</v>
      </c>
      <c r="H12" s="114">
        <v>19156.039091343504</v>
      </c>
      <c r="I12" s="114">
        <v>0.11709198351329385</v>
      </c>
      <c r="J12" s="114">
        <v>73270.99910966435</v>
      </c>
      <c r="K12" s="114">
        <v>5.0196267558196721E-2</v>
      </c>
      <c r="L12" s="114">
        <v>4133.007511416934</v>
      </c>
      <c r="M12" s="114"/>
      <c r="N12" s="114">
        <v>2.1398532897550293</v>
      </c>
      <c r="O12" s="114">
        <v>2.0327289587768167</v>
      </c>
      <c r="P12" s="324">
        <v>4452.1548208781714</v>
      </c>
      <c r="Q12" s="114">
        <v>3.5787945902920617</v>
      </c>
      <c r="R12" s="114">
        <v>1739570.0308790377</v>
      </c>
      <c r="S12" s="114">
        <v>0.61127024425909005</v>
      </c>
      <c r="T12" s="114">
        <v>3747.9971843061057</v>
      </c>
      <c r="U12" s="114">
        <v>4.198638178355993</v>
      </c>
      <c r="V12" s="114">
        <v>4130.1301479724061</v>
      </c>
      <c r="W12" s="114">
        <v>2.9041721617522627</v>
      </c>
      <c r="X12" s="114">
        <v>7888862.767838384</v>
      </c>
      <c r="Y12" s="114">
        <v>0.61744393172230116</v>
      </c>
      <c r="Z12" s="114">
        <v>3318.9290391640893</v>
      </c>
      <c r="AA12" s="114">
        <v>7.1800884683621193</v>
      </c>
      <c r="AB12" s="114">
        <v>1701198.7686588517</v>
      </c>
      <c r="AC12" s="114">
        <v>0.62364160548607783</v>
      </c>
      <c r="AD12" s="114">
        <v>7812272.8396895528</v>
      </c>
      <c r="AE12" s="114">
        <v>0.62378353479236581</v>
      </c>
      <c r="AF12" s="382">
        <v>4.5805445076142606</v>
      </c>
      <c r="AG12" s="163">
        <v>1.268851355591431E-2</v>
      </c>
      <c r="AH12" s="382">
        <v>4.5922152980099193</v>
      </c>
      <c r="AI12" s="434">
        <v>1.3050265929996075E-2</v>
      </c>
      <c r="AJ12" s="22">
        <v>0</v>
      </c>
      <c r="AL12" s="22">
        <v>0</v>
      </c>
    </row>
    <row r="13" spans="1:39" s="22" customFormat="1" x14ac:dyDescent="0.15">
      <c r="A13" s="113" t="s">
        <v>612</v>
      </c>
      <c r="B13" s="324">
        <v>20735.686408784619</v>
      </c>
      <c r="C13" s="114">
        <v>9.5290791068300656E-2</v>
      </c>
      <c r="D13" s="114">
        <v>34917.358166860075</v>
      </c>
      <c r="E13" s="114">
        <v>0.1035801077554115</v>
      </c>
      <c r="F13" s="114">
        <v>19072.315721649411</v>
      </c>
      <c r="G13" s="114">
        <v>0.11045696951931175</v>
      </c>
      <c r="H13" s="114">
        <v>19072.315721649411</v>
      </c>
      <c r="I13" s="114">
        <v>0.11045696951931175</v>
      </c>
      <c r="J13" s="114">
        <v>76034.384128443446</v>
      </c>
      <c r="K13" s="114">
        <v>0.1797855655990013</v>
      </c>
      <c r="L13" s="114">
        <v>4208.7867617079137</v>
      </c>
      <c r="M13" s="114"/>
      <c r="N13" s="114">
        <v>2.1775526019207083</v>
      </c>
      <c r="O13" s="114">
        <v>2.0648619446746479</v>
      </c>
      <c r="P13" s="324">
        <v>4334.3007085823019</v>
      </c>
      <c r="Q13" s="114">
        <v>3.9019718635809117</v>
      </c>
      <c r="R13" s="114">
        <v>1729109.3855055687</v>
      </c>
      <c r="S13" s="114">
        <v>0.62822283027897641</v>
      </c>
      <c r="T13" s="114">
        <v>4013.3589107519815</v>
      </c>
      <c r="U13" s="114">
        <v>3.435142378811884</v>
      </c>
      <c r="V13" s="114">
        <v>4187.5279234837499</v>
      </c>
      <c r="W13" s="114">
        <v>2.7137321213480101</v>
      </c>
      <c r="X13" s="114">
        <v>7842359.533493394</v>
      </c>
      <c r="Y13" s="114">
        <v>0.63789580560074988</v>
      </c>
      <c r="Z13" s="114">
        <v>3090.939281512678</v>
      </c>
      <c r="AA13" s="114">
        <v>9.049254872435009</v>
      </c>
      <c r="AB13" s="114">
        <v>1690004.499415226</v>
      </c>
      <c r="AC13" s="114">
        <v>0.64156073259851532</v>
      </c>
      <c r="AD13" s="114">
        <v>7763234.2100834381</v>
      </c>
      <c r="AE13" s="114">
        <v>0.64401080654050857</v>
      </c>
      <c r="AF13" s="382">
        <v>4.5822509553990471</v>
      </c>
      <c r="AG13" s="163">
        <v>1.569407611745573E-2</v>
      </c>
      <c r="AH13" s="436">
        <v>4.5935589281553675</v>
      </c>
      <c r="AI13" s="434">
        <v>1.6010519831249771E-2</v>
      </c>
      <c r="AJ13" s="22">
        <v>0</v>
      </c>
      <c r="AL13" s="22">
        <v>0</v>
      </c>
    </row>
    <row r="14" spans="1:39" s="22" customFormat="1" x14ac:dyDescent="0.15">
      <c r="A14" s="113" t="s">
        <v>613</v>
      </c>
      <c r="B14" s="324">
        <v>19539.123196764151</v>
      </c>
      <c r="C14" s="114">
        <v>0.10705477135157354</v>
      </c>
      <c r="D14" s="114">
        <v>33728.057340999738</v>
      </c>
      <c r="E14" s="114">
        <v>0.13194634994573323</v>
      </c>
      <c r="F14" s="114">
        <v>18353.129428557477</v>
      </c>
      <c r="G14" s="114">
        <v>0.10617235987083402</v>
      </c>
      <c r="H14" s="114">
        <v>18353.129428557477</v>
      </c>
      <c r="I14" s="114">
        <v>0.10617235987083402</v>
      </c>
      <c r="J14" s="114">
        <v>73811.129182537872</v>
      </c>
      <c r="K14" s="114">
        <v>0.24287827669755768</v>
      </c>
      <c r="L14" s="114">
        <v>4079.8075864107359</v>
      </c>
      <c r="M14" s="114"/>
      <c r="N14" s="114">
        <v>2.18841922724121</v>
      </c>
      <c r="O14" s="114">
        <v>2.1399053899439382</v>
      </c>
      <c r="P14" s="324">
        <v>4381.8237198078114</v>
      </c>
      <c r="Q14" s="114">
        <v>4.5435961296388907</v>
      </c>
      <c r="R14" s="114">
        <v>1660598.4735076153</v>
      </c>
      <c r="S14" s="114">
        <v>0.61942990793074781</v>
      </c>
      <c r="T14" s="114">
        <v>3689.3245621228621</v>
      </c>
      <c r="U14" s="114">
        <v>4.9019413547042587</v>
      </c>
      <c r="V14" s="114">
        <v>4065.1306909192549</v>
      </c>
      <c r="W14" s="114">
        <v>3.1428664307974681</v>
      </c>
      <c r="X14" s="114">
        <v>7521143.4022877812</v>
      </c>
      <c r="Y14" s="114">
        <v>0.62683970343494422</v>
      </c>
      <c r="Z14" s="114">
        <v>3501.2992640192897</v>
      </c>
      <c r="AA14" s="114">
        <v>7.6706669624586823</v>
      </c>
      <c r="AB14" s="114">
        <v>1622805.2854756967</v>
      </c>
      <c r="AC14" s="114">
        <v>0.63262133066412019</v>
      </c>
      <c r="AD14" s="114">
        <v>7443830.9738412183</v>
      </c>
      <c r="AE14" s="114">
        <v>0.63347120579947602</v>
      </c>
      <c r="AF14" s="382">
        <v>4.576439410517458</v>
      </c>
      <c r="AG14" s="163">
        <v>1.3331001238104939E-2</v>
      </c>
      <c r="AH14" s="436">
        <v>4.5869973794289516</v>
      </c>
      <c r="AI14" s="434">
        <v>1.5298023751741949E-2</v>
      </c>
      <c r="AJ14" s="22">
        <v>0</v>
      </c>
      <c r="AL14" s="22">
        <v>0</v>
      </c>
    </row>
    <row r="15" spans="1:39" s="22" customFormat="1" x14ac:dyDescent="0.15">
      <c r="A15" s="113" t="s">
        <v>614</v>
      </c>
      <c r="B15" s="324">
        <v>19735.083957232426</v>
      </c>
      <c r="C15" s="114">
        <v>0.11521614238335436</v>
      </c>
      <c r="D15" s="114">
        <v>33634.707849275219</v>
      </c>
      <c r="E15" s="114">
        <v>7.0860611624115971E-2</v>
      </c>
      <c r="F15" s="114">
        <v>18567.576427639775</v>
      </c>
      <c r="G15" s="114">
        <v>9.2772969687720044E-2</v>
      </c>
      <c r="H15" s="114">
        <v>18567.576427639775</v>
      </c>
      <c r="I15" s="114">
        <v>9.2772969687720044E-2</v>
      </c>
      <c r="J15" s="114">
        <v>73147.35048729596</v>
      </c>
      <c r="K15" s="114">
        <v>4.1637680651398522E-2</v>
      </c>
      <c r="L15" s="114">
        <v>3926.7636738871925</v>
      </c>
      <c r="M15" s="114"/>
      <c r="N15" s="114">
        <v>2.1747580152943766</v>
      </c>
      <c r="O15" s="114">
        <v>2.0699027177269143</v>
      </c>
      <c r="P15" s="324">
        <v>4377.2581510303853</v>
      </c>
      <c r="Q15" s="114">
        <v>3.918892504882372</v>
      </c>
      <c r="R15" s="114">
        <v>1671870.5909614149</v>
      </c>
      <c r="S15" s="114">
        <v>0.61427286722838381</v>
      </c>
      <c r="T15" s="114">
        <v>3381.1846000115838</v>
      </c>
      <c r="U15" s="114">
        <v>4.8305166070808481</v>
      </c>
      <c r="V15" s="114">
        <v>3921.7347812656003</v>
      </c>
      <c r="W15" s="114">
        <v>3.3060708175772331</v>
      </c>
      <c r="X15" s="114">
        <v>7572343.7532748664</v>
      </c>
      <c r="Y15" s="114">
        <v>0.62089203305749452</v>
      </c>
      <c r="Z15" s="114">
        <v>2915.6622893838671</v>
      </c>
      <c r="AA15" s="114">
        <v>7.6041589696308485</v>
      </c>
      <c r="AB15" s="114">
        <v>1634314.1483308736</v>
      </c>
      <c r="AC15" s="114">
        <v>0.62712650105370338</v>
      </c>
      <c r="AD15" s="114">
        <v>7496280.7404981898</v>
      </c>
      <c r="AE15" s="114">
        <v>0.62703321234996678</v>
      </c>
      <c r="AF15" s="382">
        <v>4.5766232020937219</v>
      </c>
      <c r="AG15" s="163">
        <v>1.4729239308114397E-2</v>
      </c>
      <c r="AH15" s="436">
        <v>4.5868112233260572</v>
      </c>
      <c r="AI15" s="434">
        <v>1.4204689776154137E-2</v>
      </c>
      <c r="AJ15" s="22">
        <v>0</v>
      </c>
      <c r="AL15" s="22">
        <v>0</v>
      </c>
    </row>
    <row r="16" spans="1:39" s="22" customFormat="1" x14ac:dyDescent="0.15">
      <c r="A16" s="113" t="s">
        <v>615</v>
      </c>
      <c r="B16" s="324">
        <v>19984.573897562765</v>
      </c>
      <c r="C16" s="114">
        <v>0.11810453978172172</v>
      </c>
      <c r="D16" s="114">
        <v>34427.001221454302</v>
      </c>
      <c r="E16" s="114">
        <v>4.9567334394774697E-2</v>
      </c>
      <c r="F16" s="114">
        <v>18513.447718730447</v>
      </c>
      <c r="G16" s="114">
        <v>9.0935394754703858E-2</v>
      </c>
      <c r="H16" s="114">
        <v>18513.447718730447</v>
      </c>
      <c r="I16" s="114">
        <v>9.0935394754703858E-2</v>
      </c>
      <c r="J16" s="114">
        <v>76790.673135757417</v>
      </c>
      <c r="K16" s="114">
        <v>4.4738290905199152E-2</v>
      </c>
      <c r="L16" s="114">
        <v>4045.7232439189388</v>
      </c>
      <c r="M16" s="114"/>
      <c r="N16" s="114">
        <v>2.2305362189926323</v>
      </c>
      <c r="O16" s="114">
        <v>2.1518367363468358</v>
      </c>
      <c r="P16" s="324">
        <v>4278.9320753036873</v>
      </c>
      <c r="Q16" s="114">
        <v>3.9105472891769533</v>
      </c>
      <c r="R16" s="114">
        <v>1652551.4958713762</v>
      </c>
      <c r="S16" s="114">
        <v>0.59527744437803487</v>
      </c>
      <c r="T16" s="114">
        <v>3607.1112659043592</v>
      </c>
      <c r="U16" s="114">
        <v>5.4764305195181286</v>
      </c>
      <c r="V16" s="114">
        <v>3971.6956481717002</v>
      </c>
      <c r="W16" s="114">
        <v>3.434708383705428</v>
      </c>
      <c r="X16" s="114">
        <v>7483220.5430033831</v>
      </c>
      <c r="Y16" s="114">
        <v>0.60315410688004767</v>
      </c>
      <c r="Z16" s="114">
        <v>2590.355547574512</v>
      </c>
      <c r="AA16" s="114">
        <v>8.071360905480681</v>
      </c>
      <c r="AB16" s="114">
        <v>1614152.7990017503</v>
      </c>
      <c r="AC16" s="114">
        <v>0.60864202046452842</v>
      </c>
      <c r="AD16" s="114">
        <v>7403839.5143200504</v>
      </c>
      <c r="AE16" s="114">
        <v>0.61023841976544335</v>
      </c>
      <c r="AF16" s="382">
        <v>4.5759185496667998</v>
      </c>
      <c r="AG16" s="163">
        <v>1.4339969415430894E-2</v>
      </c>
      <c r="AH16" s="436">
        <v>4.5867939317509538</v>
      </c>
      <c r="AI16" s="434">
        <v>1.7420046080322642E-2</v>
      </c>
      <c r="AJ16" s="22">
        <v>0</v>
      </c>
      <c r="AL16" s="22">
        <v>0</v>
      </c>
    </row>
    <row r="17" spans="1:38" s="22" customFormat="1" x14ac:dyDescent="0.15">
      <c r="A17" s="113" t="s">
        <v>616</v>
      </c>
      <c r="B17" s="324">
        <v>19992.405125603989</v>
      </c>
      <c r="C17" s="114">
        <v>0.10941857293712506</v>
      </c>
      <c r="D17" s="114">
        <v>34273.070866572431</v>
      </c>
      <c r="E17" s="114">
        <v>6.070133699437457E-2</v>
      </c>
      <c r="F17" s="114">
        <v>18596.133685885627</v>
      </c>
      <c r="G17" s="114">
        <v>0.10577755723549878</v>
      </c>
      <c r="H17" s="114">
        <v>18596.133685885627</v>
      </c>
      <c r="I17" s="114">
        <v>0.10577755723549878</v>
      </c>
      <c r="J17" s="114">
        <v>75711.107184264765</v>
      </c>
      <c r="K17" s="114">
        <v>4.4008677906079971E-2</v>
      </c>
      <c r="L17" s="114">
        <v>3966.6415440170213</v>
      </c>
      <c r="M17" s="114"/>
      <c r="N17" s="114">
        <v>2.209055251541761</v>
      </c>
      <c r="O17" s="114">
        <v>2.1219975152969832</v>
      </c>
      <c r="P17" s="324">
        <v>4351.8273569502608</v>
      </c>
      <c r="Q17" s="114">
        <v>3.4523767147766651</v>
      </c>
      <c r="R17" s="114">
        <v>1665758.9587009817</v>
      </c>
      <c r="S17" s="114">
        <v>0.58562731960491277</v>
      </c>
      <c r="T17" s="114">
        <v>3513.0714781445072</v>
      </c>
      <c r="U17" s="114">
        <v>4.2588396020621913</v>
      </c>
      <c r="V17" s="114">
        <v>3968.2483492225388</v>
      </c>
      <c r="W17" s="114">
        <v>2.7383478627250906</v>
      </c>
      <c r="X17" s="114">
        <v>7543488.3072376214</v>
      </c>
      <c r="Y17" s="114">
        <v>0.59177878481272994</v>
      </c>
      <c r="Z17" s="114">
        <v>2883.2997251540869</v>
      </c>
      <c r="AA17" s="114">
        <v>8.0699370339407785</v>
      </c>
      <c r="AB17" s="114">
        <v>1627517.6394851878</v>
      </c>
      <c r="AC17" s="114">
        <v>0.59772444764152244</v>
      </c>
      <c r="AD17" s="114">
        <v>7464893.900328205</v>
      </c>
      <c r="AE17" s="114">
        <v>0.59753624114222403</v>
      </c>
      <c r="AF17" s="382">
        <v>4.5756779517696833</v>
      </c>
      <c r="AG17" s="163">
        <v>1.4823402870125081E-2</v>
      </c>
      <c r="AH17" s="436">
        <v>4.5866852414748562</v>
      </c>
      <c r="AI17" s="434">
        <v>1.6302006730940847E-2</v>
      </c>
      <c r="AJ17" s="22">
        <v>0</v>
      </c>
      <c r="AL17" s="22">
        <v>0</v>
      </c>
    </row>
    <row r="18" spans="1:38" s="22" customFormat="1" x14ac:dyDescent="0.15">
      <c r="A18" s="113" t="s">
        <v>617</v>
      </c>
      <c r="B18" s="324">
        <v>18608.139975000864</v>
      </c>
      <c r="C18" s="114">
        <v>0.11853576571311605</v>
      </c>
      <c r="D18" s="114">
        <v>30602.351770146866</v>
      </c>
      <c r="E18" s="114">
        <v>0.10122923572171902</v>
      </c>
      <c r="F18" s="114">
        <v>17357.572532896564</v>
      </c>
      <c r="G18" s="114">
        <v>0.10614673916451416</v>
      </c>
      <c r="H18" s="114">
        <v>17357.572532896564</v>
      </c>
      <c r="I18" s="114">
        <v>0.10614673916451416</v>
      </c>
      <c r="J18" s="114">
        <v>64860.947667727589</v>
      </c>
      <c r="K18" s="114">
        <v>0.19717830940210868</v>
      </c>
      <c r="L18" s="114">
        <v>3363.5933224011374</v>
      </c>
      <c r="M18" s="114"/>
      <c r="N18" s="114">
        <v>2.1194759198539961</v>
      </c>
      <c r="O18" s="114">
        <v>1.9963356670624262</v>
      </c>
      <c r="P18" s="324">
        <v>3650.8339837584144</v>
      </c>
      <c r="Q18" s="114">
        <v>5.2297923969546822</v>
      </c>
      <c r="R18" s="114">
        <v>1502574.3814864077</v>
      </c>
      <c r="S18" s="114">
        <v>0.56550375818528675</v>
      </c>
      <c r="T18" s="114">
        <v>3004.8584573227722</v>
      </c>
      <c r="U18" s="114">
        <v>5.3906714367947117</v>
      </c>
      <c r="V18" s="114">
        <v>3355.4170958322443</v>
      </c>
      <c r="W18" s="114">
        <v>3.8244238557314283</v>
      </c>
      <c r="X18" s="114">
        <v>6790704.6628286671</v>
      </c>
      <c r="Y18" s="114">
        <v>0.57192613563879546</v>
      </c>
      <c r="Z18" s="114">
        <v>3068.0106074293121</v>
      </c>
      <c r="AA18" s="114">
        <v>9.1890658273022634</v>
      </c>
      <c r="AB18" s="114">
        <v>1468616.6126204287</v>
      </c>
      <c r="AC18" s="114">
        <v>0.57820720976359596</v>
      </c>
      <c r="AD18" s="114">
        <v>6722775.7045535119</v>
      </c>
      <c r="AE18" s="114">
        <v>0.57844968316661427</v>
      </c>
      <c r="AF18" s="382">
        <v>4.5679400328734978</v>
      </c>
      <c r="AG18" s="163">
        <v>1.5046053589759054E-2</v>
      </c>
      <c r="AH18" s="382">
        <v>4.57762340161214</v>
      </c>
      <c r="AI18" s="434">
        <v>1.3786685115682097E-2</v>
      </c>
      <c r="AJ18" s="382">
        <v>0</v>
      </c>
      <c r="AL18" s="382">
        <v>0</v>
      </c>
    </row>
    <row r="19" spans="1:38" s="22" customFormat="1" x14ac:dyDescent="0.15">
      <c r="A19" s="113" t="s">
        <v>618</v>
      </c>
      <c r="B19" s="324">
        <v>18651.615448489407</v>
      </c>
      <c r="C19" s="114">
        <v>0.11352704718375872</v>
      </c>
      <c r="D19" s="114">
        <v>30974.678673146856</v>
      </c>
      <c r="E19" s="114">
        <v>0.12318066492359177</v>
      </c>
      <c r="F19" s="114">
        <v>17581.001911401447</v>
      </c>
      <c r="G19" s="114">
        <v>0.11870831263509063</v>
      </c>
      <c r="H19" s="114">
        <v>17581.001911401447</v>
      </c>
      <c r="I19" s="114">
        <v>0.11870831263509063</v>
      </c>
      <c r="J19" s="114">
        <v>66730.105896204041</v>
      </c>
      <c r="K19" s="114">
        <v>0.24731812436683312</v>
      </c>
      <c r="L19" s="114">
        <v>3466.9531909831239</v>
      </c>
      <c r="M19" s="114"/>
      <c r="N19" s="114">
        <v>2.1543437657693909</v>
      </c>
      <c r="O19" s="114">
        <v>2.0509098423954981</v>
      </c>
      <c r="P19" s="324">
        <v>3681.342837898595</v>
      </c>
      <c r="Q19" s="114">
        <v>4.9890286440730423</v>
      </c>
      <c r="R19" s="114">
        <v>1516926.809571902</v>
      </c>
      <c r="S19" s="114">
        <v>0.57713590238727364</v>
      </c>
      <c r="T19" s="114">
        <v>3071.188103766865</v>
      </c>
      <c r="U19" s="114">
        <v>5.7273712600028395</v>
      </c>
      <c r="V19" s="114">
        <v>3402.30747922921</v>
      </c>
      <c r="W19" s="114">
        <v>3.9369493372978805</v>
      </c>
      <c r="X19" s="114">
        <v>6856071.6429175939</v>
      </c>
      <c r="Y19" s="114">
        <v>0.58456609833444828</v>
      </c>
      <c r="Z19" s="114">
        <v>3393.9659780256566</v>
      </c>
      <c r="AA19" s="114">
        <v>6.407107062779632</v>
      </c>
      <c r="AB19" s="114">
        <v>1482549.8234195258</v>
      </c>
      <c r="AC19" s="114">
        <v>0.5885118780764178</v>
      </c>
      <c r="AD19" s="114">
        <v>6785947.5710433638</v>
      </c>
      <c r="AE19" s="114">
        <v>0.58983963599379563</v>
      </c>
      <c r="AF19" s="382">
        <v>4.56710605718827</v>
      </c>
      <c r="AG19" s="163">
        <v>1.7571328515385617E-2</v>
      </c>
      <c r="AH19" s="382">
        <v>4.5771886521854563</v>
      </c>
      <c r="AI19" s="434">
        <v>1.8106168136133468E-2</v>
      </c>
      <c r="AJ19" s="22">
        <v>0</v>
      </c>
      <c r="AL19" s="22">
        <v>0</v>
      </c>
    </row>
    <row r="20" spans="1:38" s="21" customFormat="1" x14ac:dyDescent="0.15">
      <c r="A20" s="113"/>
      <c r="B20" s="324"/>
      <c r="C20" s="114"/>
      <c r="D20" s="114"/>
      <c r="E20" s="114"/>
      <c r="F20" s="114"/>
      <c r="G20" s="114"/>
      <c r="H20" s="114"/>
      <c r="I20" s="114"/>
      <c r="J20" s="114"/>
      <c r="K20" s="114"/>
      <c r="L20" s="114"/>
      <c r="M20" s="114"/>
      <c r="N20" s="114"/>
      <c r="O20" s="114"/>
      <c r="P20" s="324"/>
      <c r="Q20" s="114"/>
      <c r="R20" s="114"/>
      <c r="S20" s="114"/>
      <c r="T20" s="114"/>
      <c r="U20" s="114"/>
      <c r="V20" s="114"/>
      <c r="W20" s="114"/>
      <c r="X20" s="114"/>
      <c r="Y20" s="114"/>
      <c r="Z20" s="114"/>
      <c r="AA20" s="114"/>
      <c r="AB20" s="114"/>
      <c r="AC20" s="114"/>
      <c r="AD20" s="114"/>
      <c r="AE20" s="114"/>
      <c r="AF20" s="382"/>
      <c r="AG20" s="163"/>
      <c r="AH20" s="436"/>
      <c r="AI20" s="434"/>
    </row>
    <row r="21" spans="1:38" s="21" customFormat="1" x14ac:dyDescent="0.15">
      <c r="A21" s="113"/>
      <c r="B21" s="324"/>
      <c r="C21" s="114"/>
      <c r="D21" s="114"/>
      <c r="E21" s="114"/>
      <c r="F21" s="114"/>
      <c r="G21" s="114"/>
      <c r="H21" s="114"/>
      <c r="I21" s="114"/>
      <c r="J21" s="114"/>
      <c r="K21" s="114"/>
      <c r="L21" s="114"/>
      <c r="M21" s="114"/>
      <c r="N21" s="114"/>
      <c r="O21" s="114"/>
      <c r="P21" s="324"/>
      <c r="Q21" s="114"/>
      <c r="R21" s="114"/>
      <c r="S21" s="114"/>
      <c r="T21" s="114"/>
      <c r="U21" s="114"/>
      <c r="V21" s="114"/>
      <c r="W21" s="114"/>
      <c r="X21" s="114"/>
      <c r="Y21" s="114"/>
      <c r="Z21" s="114"/>
      <c r="AA21" s="114"/>
      <c r="AB21" s="114"/>
      <c r="AC21" s="114"/>
      <c r="AD21" s="114"/>
      <c r="AE21" s="114"/>
      <c r="AF21" s="382"/>
      <c r="AG21" s="163"/>
      <c r="AH21" s="436"/>
      <c r="AI21" s="434"/>
    </row>
    <row r="22" spans="1:38" s="21" customFormat="1" x14ac:dyDescent="0.15">
      <c r="A22" s="113" t="s">
        <v>619</v>
      </c>
      <c r="B22" s="324">
        <v>23335.319670274122</v>
      </c>
      <c r="C22" s="114">
        <v>9.4877650813417133E-2</v>
      </c>
      <c r="D22" s="114">
        <v>39719.759886584485</v>
      </c>
      <c r="E22" s="114">
        <v>5.0591056706368688E-2</v>
      </c>
      <c r="F22" s="114">
        <v>21029.115431979291</v>
      </c>
      <c r="G22" s="114">
        <v>9.5981679513361062E-2</v>
      </c>
      <c r="H22" s="114">
        <v>21029.115431979291</v>
      </c>
      <c r="I22" s="114">
        <v>9.5981679513361062E-2</v>
      </c>
      <c r="J22" s="114">
        <v>88817.941638528035</v>
      </c>
      <c r="K22" s="114">
        <v>5.1296361482717892E-2</v>
      </c>
      <c r="L22" s="114">
        <v>2896.8647777967876</v>
      </c>
      <c r="M22" s="114"/>
      <c r="N22" s="114">
        <v>2.236114767363603</v>
      </c>
      <c r="O22" s="114">
        <v>2.0650051704695147</v>
      </c>
      <c r="P22" s="324">
        <v>3075.039039526207</v>
      </c>
      <c r="Q22" s="114">
        <v>5.7642595398122332</v>
      </c>
      <c r="R22" s="114">
        <v>1208650.4512353176</v>
      </c>
      <c r="S22" s="114">
        <v>0.64415533461482988</v>
      </c>
      <c r="T22" s="114">
        <v>2822.6013940533912</v>
      </c>
      <c r="U22" s="114">
        <v>6.2800087325069516</v>
      </c>
      <c r="V22" s="114">
        <v>2959.5945055320549</v>
      </c>
      <c r="W22" s="114">
        <v>3.9553177129954871</v>
      </c>
      <c r="X22" s="114">
        <v>5452652.2653063089</v>
      </c>
      <c r="Y22" s="114">
        <v>0.66278481855615645</v>
      </c>
      <c r="Z22" s="114">
        <v>1432.0007912981</v>
      </c>
      <c r="AA22" s="114">
        <v>14.366265909370648</v>
      </c>
      <c r="AB22" s="114">
        <v>1165971.0968432017</v>
      </c>
      <c r="AC22" s="114">
        <v>0.66829779829150737</v>
      </c>
      <c r="AD22" s="114">
        <v>5362402.3228764832</v>
      </c>
      <c r="AE22" s="114">
        <v>0.67395844630219925</v>
      </c>
      <c r="AF22" s="382">
        <v>4.5864774359946106</v>
      </c>
      <c r="AG22" s="163">
        <v>1.8461279262472652E-2</v>
      </c>
      <c r="AH22" s="436">
        <v>4.5989736286928951</v>
      </c>
      <c r="AI22" s="434">
        <v>2.0746567721385552E-2</v>
      </c>
      <c r="AJ22" s="21">
        <v>0</v>
      </c>
      <c r="AL22" s="21">
        <v>0</v>
      </c>
    </row>
    <row r="23" spans="1:38" s="21" customFormat="1" x14ac:dyDescent="0.15">
      <c r="A23" s="113" t="s">
        <v>620</v>
      </c>
      <c r="B23" s="324">
        <v>23403.517206440953</v>
      </c>
      <c r="C23" s="114">
        <v>9.1154605174335962E-2</v>
      </c>
      <c r="D23" s="114">
        <v>39488.065439624268</v>
      </c>
      <c r="E23" s="114">
        <v>5.2028277696276611E-2</v>
      </c>
      <c r="F23" s="114">
        <v>21295.476793889975</v>
      </c>
      <c r="G23" s="114">
        <v>0.1141468762454413</v>
      </c>
      <c r="H23" s="114">
        <v>21295.476793889975</v>
      </c>
      <c r="I23" s="114">
        <v>0.1141468762454413</v>
      </c>
      <c r="J23" s="114">
        <v>87978.659812630416</v>
      </c>
      <c r="K23" s="114">
        <v>3.8361344701931414E-2</v>
      </c>
      <c r="L23" s="114">
        <v>2857.5973485024733</v>
      </c>
      <c r="M23" s="114"/>
      <c r="N23" s="114">
        <v>2.2279810072525938</v>
      </c>
      <c r="O23" s="114">
        <v>2.0639912597566181</v>
      </c>
      <c r="P23" s="324">
        <v>3050.3285810783104</v>
      </c>
      <c r="Q23" s="114">
        <v>5.7424134652457504</v>
      </c>
      <c r="R23" s="114">
        <v>1228593.4073352311</v>
      </c>
      <c r="S23" s="114">
        <v>0.68656756654603512</v>
      </c>
      <c r="T23" s="114">
        <v>2390.5005732535078</v>
      </c>
      <c r="U23" s="114">
        <v>6.1625560944778863</v>
      </c>
      <c r="V23" s="114">
        <v>2748.5766900838016</v>
      </c>
      <c r="W23" s="114">
        <v>4.1451466715956835</v>
      </c>
      <c r="X23" s="114">
        <v>5543176.9493259769</v>
      </c>
      <c r="Y23" s="114">
        <v>0.70329176583545916</v>
      </c>
      <c r="Z23" s="114">
        <v>2939.5894457186128</v>
      </c>
      <c r="AA23" s="114">
        <v>7.2242157299188987</v>
      </c>
      <c r="AB23" s="114">
        <v>1186356.7652055235</v>
      </c>
      <c r="AC23" s="114">
        <v>0.71214519060967607</v>
      </c>
      <c r="AD23" s="114">
        <v>5452258.70006763</v>
      </c>
      <c r="AE23" s="114">
        <v>0.71538382352227747</v>
      </c>
      <c r="AF23" s="382">
        <v>4.5857815058116049</v>
      </c>
      <c r="AG23" s="163">
        <v>1.8469461827230395E-2</v>
      </c>
      <c r="AH23" s="436">
        <v>4.5957451699302521</v>
      </c>
      <c r="AI23" s="434">
        <v>1.8919332153637485E-2</v>
      </c>
      <c r="AJ23" s="21">
        <v>0</v>
      </c>
      <c r="AL23" s="21">
        <v>0</v>
      </c>
    </row>
    <row r="24" spans="1:38" s="21" customFormat="1" x14ac:dyDescent="0.15">
      <c r="A24" s="113" t="s">
        <v>621</v>
      </c>
      <c r="B24" s="324">
        <v>22938.955121721759</v>
      </c>
      <c r="C24" s="114">
        <v>8.8445192698134459E-2</v>
      </c>
      <c r="D24" s="114">
        <v>37784.720932763041</v>
      </c>
      <c r="E24" s="114">
        <v>5.4665842640887072E-2</v>
      </c>
      <c r="F24" s="114">
        <v>21048.899102593041</v>
      </c>
      <c r="G24" s="114">
        <v>9.0951853987252987E-2</v>
      </c>
      <c r="H24" s="114">
        <v>21048.899102593041</v>
      </c>
      <c r="I24" s="114">
        <v>9.0951853987252987E-2</v>
      </c>
      <c r="J24" s="114">
        <v>80703.892397937248</v>
      </c>
      <c r="K24" s="114">
        <v>4.5813619756800969E-2</v>
      </c>
      <c r="L24" s="114">
        <v>2458.3448260042592</v>
      </c>
      <c r="M24" s="114"/>
      <c r="N24" s="114">
        <v>2.1358869512771523</v>
      </c>
      <c r="O24" s="114">
        <v>1.9167973848072457</v>
      </c>
      <c r="P24" s="324">
        <v>2754.1967152954649</v>
      </c>
      <c r="Q24" s="114">
        <v>6.4357546143598974</v>
      </c>
      <c r="R24" s="114">
        <v>1109029.2496416904</v>
      </c>
      <c r="S24" s="114">
        <v>0.77013584755107789</v>
      </c>
      <c r="T24" s="114">
        <v>2287.4161027392984</v>
      </c>
      <c r="U24" s="114">
        <v>7.8964802203164881</v>
      </c>
      <c r="V24" s="114">
        <v>2540.7290678963604</v>
      </c>
      <c r="W24" s="114">
        <v>5.3237972979458501</v>
      </c>
      <c r="X24" s="114">
        <v>5001286.6852244064</v>
      </c>
      <c r="Y24" s="114">
        <v>0.79601943786020646</v>
      </c>
      <c r="Z24" s="114">
        <v>1811.0825114506886</v>
      </c>
      <c r="AA24" s="114">
        <v>13.035234381884669</v>
      </c>
      <c r="AB24" s="114">
        <v>1068703.7996410306</v>
      </c>
      <c r="AC24" s="114">
        <v>0.80037494531634756</v>
      </c>
      <c r="AD24" s="114">
        <v>4918771.710315018</v>
      </c>
      <c r="AE24" s="114">
        <v>0.81001215713426711</v>
      </c>
      <c r="AF24" s="382">
        <v>4.5910841826738444</v>
      </c>
      <c r="AG24" s="163">
        <v>1.6564612659882124E-2</v>
      </c>
      <c r="AH24" s="436">
        <v>4.6023190033371133</v>
      </c>
      <c r="AI24" s="434">
        <v>2.1486844397500239E-2</v>
      </c>
      <c r="AJ24" s="21">
        <v>0</v>
      </c>
      <c r="AL24" s="21">
        <v>0</v>
      </c>
    </row>
    <row r="25" spans="1:38" s="21" customFormat="1" x14ac:dyDescent="0.15">
      <c r="A25" s="113" t="s">
        <v>622</v>
      </c>
      <c r="B25" s="324">
        <v>22913.485966647815</v>
      </c>
      <c r="C25" s="114">
        <v>0.10041082662153727</v>
      </c>
      <c r="D25" s="114">
        <v>37662.451162746853</v>
      </c>
      <c r="E25" s="114">
        <v>5.4102837910477174E-2</v>
      </c>
      <c r="F25" s="114">
        <v>20847.441844048415</v>
      </c>
      <c r="G25" s="114">
        <v>9.9358300905144109E-2</v>
      </c>
      <c r="H25" s="114">
        <v>20847.441844048415</v>
      </c>
      <c r="I25" s="114">
        <v>9.9358300905144109E-2</v>
      </c>
      <c r="J25" s="114">
        <v>80714.346885035644</v>
      </c>
      <c r="K25" s="114">
        <v>5.9897686703469587E-2</v>
      </c>
      <c r="L25" s="114">
        <v>2610.4530328507662</v>
      </c>
      <c r="M25" s="114"/>
      <c r="N25" s="114">
        <v>2.1430986139551322</v>
      </c>
      <c r="O25" s="114">
        <v>1.9385724735609784</v>
      </c>
      <c r="P25" s="324">
        <v>2557.621690946798</v>
      </c>
      <c r="Q25" s="114">
        <v>6.9512678716178318</v>
      </c>
      <c r="R25" s="114">
        <v>1090581.9195036914</v>
      </c>
      <c r="S25" s="114">
        <v>0.52001876126871616</v>
      </c>
      <c r="T25" s="114">
        <v>2509.5246664213005</v>
      </c>
      <c r="U25" s="114">
        <v>6.7130071312944501</v>
      </c>
      <c r="V25" s="114">
        <v>2535.6260073297549</v>
      </c>
      <c r="W25" s="114">
        <v>4.2177348925147946</v>
      </c>
      <c r="X25" s="114">
        <v>4914819.2390910294</v>
      </c>
      <c r="Y25" s="114">
        <v>0.53558321520866303</v>
      </c>
      <c r="Z25" s="114">
        <v>2663.883162567337</v>
      </c>
      <c r="AA25" s="114">
        <v>7.5943495343684546</v>
      </c>
      <c r="AB25" s="114">
        <v>1050383.8423336148</v>
      </c>
      <c r="AC25" s="114">
        <v>0.53990258092753507</v>
      </c>
      <c r="AD25" s="114">
        <v>4831441.009043429</v>
      </c>
      <c r="AE25" s="114">
        <v>0.54383211767400153</v>
      </c>
      <c r="AF25" s="382">
        <v>4.5889670766269157</v>
      </c>
      <c r="AG25" s="163">
        <v>1.7899220703837763E-2</v>
      </c>
      <c r="AH25" s="436">
        <v>4.5996277041272231</v>
      </c>
      <c r="AI25" s="434">
        <v>1.7608914067408502E-2</v>
      </c>
      <c r="AJ25" s="21">
        <v>0</v>
      </c>
      <c r="AL25" s="21">
        <v>0</v>
      </c>
    </row>
    <row r="26" spans="1:38" s="21" customFormat="1" x14ac:dyDescent="0.15">
      <c r="A26" s="113" t="s">
        <v>623</v>
      </c>
      <c r="B26" s="324">
        <v>21733.720232242296</v>
      </c>
      <c r="C26" s="114">
        <v>9.4571653739801489E-2</v>
      </c>
      <c r="D26" s="114">
        <v>36145.27717727486</v>
      </c>
      <c r="E26" s="114">
        <v>5.5407577920454115E-2</v>
      </c>
      <c r="F26" s="114">
        <v>20016.722413649815</v>
      </c>
      <c r="G26" s="114">
        <v>8.7510660158833742E-2</v>
      </c>
      <c r="H26" s="114">
        <v>20016.722413649815</v>
      </c>
      <c r="I26" s="114">
        <v>8.7510660158833742E-2</v>
      </c>
      <c r="J26" s="114">
        <v>78222.892924321844</v>
      </c>
      <c r="K26" s="114">
        <v>3.849649892372381E-2</v>
      </c>
      <c r="L26" s="114">
        <v>2138.5454960080556</v>
      </c>
      <c r="M26" s="114"/>
      <c r="N26" s="114">
        <v>2.1641248603704688</v>
      </c>
      <c r="O26" s="114">
        <v>1.9377919782345687</v>
      </c>
      <c r="P26" s="324">
        <v>2344.1746030819854</v>
      </c>
      <c r="Q26" s="114">
        <v>6.6577724513730256</v>
      </c>
      <c r="R26" s="114">
        <v>1074037.8682319149</v>
      </c>
      <c r="S26" s="114">
        <v>0.63990637118094562</v>
      </c>
      <c r="T26" s="114">
        <v>1890.9884705002723</v>
      </c>
      <c r="U26" s="114">
        <v>8.9585676163186925</v>
      </c>
      <c r="V26" s="114">
        <v>2136.9239697997891</v>
      </c>
      <c r="W26" s="114">
        <v>4.7493026932658253</v>
      </c>
      <c r="X26" s="114">
        <v>4843716.5155289154</v>
      </c>
      <c r="Y26" s="114">
        <v>0.65563206797144324</v>
      </c>
      <c r="Z26" s="114">
        <v>1766.7833629176769</v>
      </c>
      <c r="AA26" s="114">
        <v>14.388458772166947</v>
      </c>
      <c r="AB26" s="114">
        <v>1035755.6670848402</v>
      </c>
      <c r="AC26" s="114">
        <v>0.66348313872671316</v>
      </c>
      <c r="AD26" s="114">
        <v>4763726.8392416751</v>
      </c>
      <c r="AE26" s="114">
        <v>0.66575715617750297</v>
      </c>
      <c r="AF26" s="382">
        <v>4.5894872628022521</v>
      </c>
      <c r="AG26" s="163">
        <v>2.0708602567210646E-2</v>
      </c>
      <c r="AH26" s="436">
        <v>4.5992443544648776</v>
      </c>
      <c r="AI26" s="434">
        <v>2.3145272232378885E-2</v>
      </c>
      <c r="AJ26" s="21">
        <v>0</v>
      </c>
      <c r="AL26" s="21">
        <v>0</v>
      </c>
    </row>
    <row r="27" spans="1:38" s="21" customFormat="1" x14ac:dyDescent="0.15">
      <c r="A27" s="113" t="s">
        <v>624</v>
      </c>
      <c r="B27" s="324">
        <v>21638.625831774923</v>
      </c>
      <c r="C27" s="114">
        <v>0.10972275016192026</v>
      </c>
      <c r="D27" s="114">
        <v>35984.039316550981</v>
      </c>
      <c r="E27" s="114">
        <v>5.636081378323532E-2</v>
      </c>
      <c r="F27" s="114">
        <v>19882.704070291395</v>
      </c>
      <c r="G27" s="114">
        <v>0.11620296113414987</v>
      </c>
      <c r="H27" s="114">
        <v>19882.704070291395</v>
      </c>
      <c r="I27" s="114">
        <v>0.11620296113414987</v>
      </c>
      <c r="J27" s="114">
        <v>76804.523680833358</v>
      </c>
      <c r="K27" s="114">
        <v>5.2157595732766966E-2</v>
      </c>
      <c r="L27" s="114">
        <v>2239.1554718672596</v>
      </c>
      <c r="M27" s="114"/>
      <c r="N27" s="114">
        <v>2.1344052846648278</v>
      </c>
      <c r="O27" s="114">
        <v>1.9180073735093395</v>
      </c>
      <c r="P27" s="324">
        <v>2252.2365514381222</v>
      </c>
      <c r="Q27" s="114">
        <v>7.1134842235733204</v>
      </c>
      <c r="R27" s="114">
        <v>1043682.9113052844</v>
      </c>
      <c r="S27" s="114">
        <v>0.59494452810236953</v>
      </c>
      <c r="T27" s="114">
        <v>2094.1724145696085</v>
      </c>
      <c r="U27" s="114">
        <v>7.4622079616929149</v>
      </c>
      <c r="V27" s="114">
        <v>2179.9508169241763</v>
      </c>
      <c r="W27" s="114">
        <v>5.376953397103807</v>
      </c>
      <c r="X27" s="114">
        <v>4700196.7759858528</v>
      </c>
      <c r="Y27" s="114">
        <v>0.61646086471024875</v>
      </c>
      <c r="Z27" s="114">
        <v>2327.9259486053356</v>
      </c>
      <c r="AA27" s="114">
        <v>9.6384439561759407</v>
      </c>
      <c r="AB27" s="114">
        <v>1005518.9211718091</v>
      </c>
      <c r="AC27" s="114">
        <v>0.61731491280709938</v>
      </c>
      <c r="AD27" s="114">
        <v>4621064.3263564119</v>
      </c>
      <c r="AE27" s="114">
        <v>0.62713356844482582</v>
      </c>
      <c r="AF27" s="382">
        <v>4.5847197224861365</v>
      </c>
      <c r="AG27" s="163">
        <v>1.7005635597903773E-2</v>
      </c>
      <c r="AH27" s="436">
        <v>4.5955264058559964</v>
      </c>
      <c r="AI27" s="434">
        <v>2.3170705567021138E-2</v>
      </c>
      <c r="AJ27" s="21">
        <v>0</v>
      </c>
      <c r="AL27" s="21">
        <v>0</v>
      </c>
    </row>
    <row r="28" spans="1:38" s="21" customFormat="1" x14ac:dyDescent="0.15">
      <c r="A28" s="113" t="s">
        <v>625</v>
      </c>
      <c r="B28" s="324">
        <v>20926.472861437087</v>
      </c>
      <c r="C28" s="114">
        <v>9.1336631916560801E-2</v>
      </c>
      <c r="D28" s="114">
        <v>34806.775496762675</v>
      </c>
      <c r="E28" s="114">
        <v>5.0891496240092565E-2</v>
      </c>
      <c r="F28" s="114">
        <v>19296.179042699354</v>
      </c>
      <c r="G28" s="114">
        <v>0.10729244523204134</v>
      </c>
      <c r="H28" s="114">
        <v>19296.179042699354</v>
      </c>
      <c r="I28" s="114">
        <v>0.10729244523204134</v>
      </c>
      <c r="J28" s="114">
        <v>75053.358255045547</v>
      </c>
      <c r="K28" s="114">
        <v>3.8341824277071009E-2</v>
      </c>
      <c r="L28" s="114">
        <v>1996.1037301275833</v>
      </c>
      <c r="M28" s="114"/>
      <c r="N28" s="114">
        <v>2.1562858720431066</v>
      </c>
      <c r="O28" s="114">
        <v>1.9230600532335966</v>
      </c>
      <c r="P28" s="324">
        <v>2216.1018922641529</v>
      </c>
      <c r="Q28" s="114">
        <v>7.6590690308383378</v>
      </c>
      <c r="R28" s="114">
        <v>1012285.2981413868</v>
      </c>
      <c r="S28" s="114">
        <v>0.58011997623732214</v>
      </c>
      <c r="T28" s="114">
        <v>1847.4385556490395</v>
      </c>
      <c r="U28" s="114">
        <v>9.6596663922454145</v>
      </c>
      <c r="V28" s="114">
        <v>2047.5051403155855</v>
      </c>
      <c r="W28" s="114">
        <v>5.9682596156959828</v>
      </c>
      <c r="X28" s="114">
        <v>4554728.0407596529</v>
      </c>
      <c r="Y28" s="114">
        <v>0.5950357733279924</v>
      </c>
      <c r="Z28" s="114">
        <v>2141.6831924600733</v>
      </c>
      <c r="AA28" s="114">
        <v>11.389451885439772</v>
      </c>
      <c r="AB28" s="114">
        <v>975431.01750430837</v>
      </c>
      <c r="AC28" s="114">
        <v>0.60413717141706957</v>
      </c>
      <c r="AD28" s="114">
        <v>4477532.9993121484</v>
      </c>
      <c r="AE28" s="114">
        <v>0.60541976522898677</v>
      </c>
      <c r="AF28" s="382">
        <v>4.579397040795997</v>
      </c>
      <c r="AG28" s="163">
        <v>2.2001104238003461E-2</v>
      </c>
      <c r="AH28" s="436">
        <v>4.5903050856749568</v>
      </c>
      <c r="AI28" s="434">
        <v>2.4034510374945754E-2</v>
      </c>
      <c r="AJ28" s="21">
        <v>0</v>
      </c>
      <c r="AL28" s="21">
        <v>0</v>
      </c>
    </row>
    <row r="29" spans="1:38" s="21" customFormat="1" x14ac:dyDescent="0.15">
      <c r="A29" s="113" t="s">
        <v>626</v>
      </c>
      <c r="B29" s="324">
        <v>20654.678840569693</v>
      </c>
      <c r="C29" s="114">
        <v>0.10395226664788064</v>
      </c>
      <c r="D29" s="114">
        <v>34837.796735359509</v>
      </c>
      <c r="E29" s="114">
        <v>9.7225360324672605E-2</v>
      </c>
      <c r="F29" s="114">
        <v>19062.960112539302</v>
      </c>
      <c r="G29" s="114">
        <v>0.1138293888911151</v>
      </c>
      <c r="H29" s="114">
        <v>19062.960112539302</v>
      </c>
      <c r="I29" s="114">
        <v>0.1138293888911151</v>
      </c>
      <c r="J29" s="114">
        <v>75149.214502755713</v>
      </c>
      <c r="K29" s="114">
        <v>0.19225024668536714</v>
      </c>
      <c r="L29" s="114">
        <v>2256.0355831646052</v>
      </c>
      <c r="M29" s="114"/>
      <c r="N29" s="114">
        <v>2.1571173135206081</v>
      </c>
      <c r="O29" s="114">
        <v>1.9516869305605873</v>
      </c>
      <c r="P29" s="324">
        <v>2610.5799657882126</v>
      </c>
      <c r="Q29" s="114">
        <v>6.8553120905797664</v>
      </c>
      <c r="R29" s="114">
        <v>1003008.5613321598</v>
      </c>
      <c r="S29" s="114">
        <v>0.60525939079557078</v>
      </c>
      <c r="T29" s="114">
        <v>2036.6697826443685</v>
      </c>
      <c r="U29" s="114">
        <v>9.1514997690097974</v>
      </c>
      <c r="V29" s="114">
        <v>2348.1199292772399</v>
      </c>
      <c r="W29" s="114">
        <v>5.4346115821339769</v>
      </c>
      <c r="X29" s="114">
        <v>4514199.1632489152</v>
      </c>
      <c r="Y29" s="114">
        <v>0.61725171299657511</v>
      </c>
      <c r="Z29" s="114">
        <v>2377.7815043651581</v>
      </c>
      <c r="AA29" s="114">
        <v>11.31541649198685</v>
      </c>
      <c r="AB29" s="114">
        <v>965822.6446675224</v>
      </c>
      <c r="AC29" s="114">
        <v>0.6314338475737491</v>
      </c>
      <c r="AD29" s="114">
        <v>4436672.1672417931</v>
      </c>
      <c r="AE29" s="114">
        <v>0.6301958398161287</v>
      </c>
      <c r="AF29" s="382">
        <v>4.5819470885513249</v>
      </c>
      <c r="AG29" s="163">
        <v>2.0906976667023819E-2</v>
      </c>
      <c r="AH29" s="436">
        <v>4.5937102068053139</v>
      </c>
      <c r="AI29" s="434">
        <v>2.6096700839118022E-2</v>
      </c>
      <c r="AJ29" s="21">
        <v>0</v>
      </c>
      <c r="AL29" s="21">
        <v>0</v>
      </c>
    </row>
    <row r="30" spans="1:38" s="21" customFormat="1" x14ac:dyDescent="0.15">
      <c r="A30" s="113" t="s">
        <v>627</v>
      </c>
      <c r="B30" s="324">
        <v>19801.452361360098</v>
      </c>
      <c r="C30" s="114">
        <v>0.10792692166826895</v>
      </c>
      <c r="D30" s="114">
        <v>33724.691181575792</v>
      </c>
      <c r="E30" s="114">
        <v>6.2991350993425066E-2</v>
      </c>
      <c r="F30" s="114">
        <v>18603.072287443814</v>
      </c>
      <c r="G30" s="114">
        <v>0.12312119066063008</v>
      </c>
      <c r="H30" s="114">
        <v>18603.072287443814</v>
      </c>
      <c r="I30" s="114">
        <v>0.12312119066063008</v>
      </c>
      <c r="J30" s="114">
        <v>72494.833680811513</v>
      </c>
      <c r="K30" s="114">
        <v>5.8819861185608689E-2</v>
      </c>
      <c r="L30" s="114">
        <v>2136.3742478980389</v>
      </c>
      <c r="M30" s="114"/>
      <c r="N30" s="114">
        <v>2.149607042819011</v>
      </c>
      <c r="O30" s="114">
        <v>1.9469679583621011</v>
      </c>
      <c r="P30" s="324">
        <v>2412.3160319850399</v>
      </c>
      <c r="Q30" s="114">
        <v>6.977804872516602</v>
      </c>
      <c r="R30" s="114">
        <v>980207.01722919662</v>
      </c>
      <c r="S30" s="114">
        <v>0.87305814959119754</v>
      </c>
      <c r="T30" s="114">
        <v>1817.3797236241601</v>
      </c>
      <c r="U30" s="114">
        <v>9.2059796799981815</v>
      </c>
      <c r="V30" s="114">
        <v>2140.2403487156885</v>
      </c>
      <c r="W30" s="114">
        <v>5.0844582530940965</v>
      </c>
      <c r="X30" s="114">
        <v>4405577.3882146413</v>
      </c>
      <c r="Y30" s="114">
        <v>0.89256612594444018</v>
      </c>
      <c r="Z30" s="114">
        <v>738.50426734555163</v>
      </c>
      <c r="AA30" s="114">
        <v>28.268564834272407</v>
      </c>
      <c r="AB30" s="114">
        <v>944342.08569890494</v>
      </c>
      <c r="AC30" s="114">
        <v>0.90638751952437857</v>
      </c>
      <c r="AD30" s="114">
        <v>4332344.0502664819</v>
      </c>
      <c r="AE30" s="114">
        <v>0.90678615541416208</v>
      </c>
      <c r="AF30" s="382">
        <v>4.5769543146084342</v>
      </c>
      <c r="AG30" s="163">
        <v>2.526577661633754E-2</v>
      </c>
      <c r="AH30" s="436">
        <v>4.5876972155728737</v>
      </c>
      <c r="AI30" s="434">
        <v>2.5085265846246457E-2</v>
      </c>
      <c r="AJ30" s="21">
        <v>0</v>
      </c>
      <c r="AL30" s="21">
        <v>0</v>
      </c>
    </row>
    <row r="31" spans="1:38" s="21" customFormat="1" x14ac:dyDescent="0.15">
      <c r="A31" s="113" t="s">
        <v>628</v>
      </c>
      <c r="B31" s="324">
        <v>19827.709699854524</v>
      </c>
      <c r="C31" s="114">
        <v>9.2648041974009387E-2</v>
      </c>
      <c r="D31" s="114">
        <v>33231.123026575064</v>
      </c>
      <c r="E31" s="114">
        <v>6.7637692015980647E-2</v>
      </c>
      <c r="F31" s="114">
        <v>18325.968321521283</v>
      </c>
      <c r="G31" s="114">
        <v>9.3782627131141494E-2</v>
      </c>
      <c r="H31" s="114">
        <v>18325.968321521283</v>
      </c>
      <c r="I31" s="114">
        <v>9.3782627131141494E-2</v>
      </c>
      <c r="J31" s="114">
        <v>71650.290523930977</v>
      </c>
      <c r="K31" s="114">
        <v>4.6004666657895696E-2</v>
      </c>
      <c r="L31" s="114">
        <v>2260.5533687059824</v>
      </c>
      <c r="M31" s="114"/>
      <c r="N31" s="114">
        <v>2.1561200464586148</v>
      </c>
      <c r="O31" s="114">
        <v>1.9504735714258246</v>
      </c>
      <c r="P31" s="324">
        <v>2113.0103869831801</v>
      </c>
      <c r="Q31" s="114">
        <v>9.0467677723500959</v>
      </c>
      <c r="R31" s="114">
        <v>982597.93016792927</v>
      </c>
      <c r="S31" s="114">
        <v>1.0107001225052699</v>
      </c>
      <c r="T31" s="114">
        <v>2155.6157772811366</v>
      </c>
      <c r="U31" s="114">
        <v>7.4212628444218023</v>
      </c>
      <c r="V31" s="114">
        <v>2132.4946418746176</v>
      </c>
      <c r="W31" s="114">
        <v>6.2798514870490019</v>
      </c>
      <c r="X31" s="114">
        <v>4415506.5590911144</v>
      </c>
      <c r="Y31" s="114">
        <v>1.0352328966852384</v>
      </c>
      <c r="Z31" s="114">
        <v>2366.32684466419</v>
      </c>
      <c r="AA31" s="114">
        <v>10.490072585739599</v>
      </c>
      <c r="AB31" s="114">
        <v>947234.31249948009</v>
      </c>
      <c r="AC31" s="114">
        <v>1.0537767718252493</v>
      </c>
      <c r="AD31" s="114">
        <v>4341489.9417225197</v>
      </c>
      <c r="AE31" s="114">
        <v>1.051734872428699</v>
      </c>
      <c r="AF31" s="382">
        <v>4.5722224364247257</v>
      </c>
      <c r="AG31" s="163">
        <v>1.5970199628743034E-2</v>
      </c>
      <c r="AH31" s="436">
        <v>4.5834175493755458</v>
      </c>
      <c r="AI31" s="434">
        <v>2.0299667271427246E-2</v>
      </c>
      <c r="AJ31" s="21">
        <v>0</v>
      </c>
      <c r="AL31" s="21">
        <v>0</v>
      </c>
    </row>
    <row r="32" spans="1:38" s="21" customFormat="1" x14ac:dyDescent="0.15">
      <c r="A32" s="113" t="s">
        <v>629</v>
      </c>
      <c r="B32" s="324">
        <v>20067.446204728843</v>
      </c>
      <c r="C32" s="114">
        <v>0.10738773580262881</v>
      </c>
      <c r="D32" s="114">
        <v>34147.438235587404</v>
      </c>
      <c r="E32" s="114">
        <v>5.5187019076999126E-2</v>
      </c>
      <c r="F32" s="114">
        <v>18604.421845257493</v>
      </c>
      <c r="G32" s="114">
        <v>0.11076925231754989</v>
      </c>
      <c r="H32" s="114">
        <v>18604.421845257493</v>
      </c>
      <c r="I32" s="114">
        <v>0.11076925231754989</v>
      </c>
      <c r="J32" s="114">
        <v>74387.017755698791</v>
      </c>
      <c r="K32" s="114">
        <v>5.4912181584350843E-2</v>
      </c>
      <c r="L32" s="114">
        <v>2230.8439772671454</v>
      </c>
      <c r="M32" s="114"/>
      <c r="N32" s="114">
        <v>2.1784069786580633</v>
      </c>
      <c r="O32" s="114">
        <v>1.954836237194298</v>
      </c>
      <c r="P32" s="324">
        <v>2354.2752120431169</v>
      </c>
      <c r="Q32" s="114">
        <v>7.1734882230427548</v>
      </c>
      <c r="R32" s="114">
        <v>1012548.0523285459</v>
      </c>
      <c r="S32" s="114">
        <v>1.0526691324274231</v>
      </c>
      <c r="T32" s="114">
        <v>2059.2137389969052</v>
      </c>
      <c r="U32" s="114">
        <v>7.5377761825016814</v>
      </c>
      <c r="V32" s="114">
        <v>2219.3379914409861</v>
      </c>
      <c r="W32" s="114">
        <v>5.3457105303182315</v>
      </c>
      <c r="X32" s="114">
        <v>4553744.6427524863</v>
      </c>
      <c r="Y32" s="114">
        <v>1.0854593114866118</v>
      </c>
      <c r="Z32" s="114">
        <v>1263.4109008969606</v>
      </c>
      <c r="AA32" s="114">
        <v>16.13992466057741</v>
      </c>
      <c r="AB32" s="114">
        <v>976181.27610151726</v>
      </c>
      <c r="AC32" s="114">
        <v>1.0908695708453038</v>
      </c>
      <c r="AD32" s="114">
        <v>4478094.2140958896</v>
      </c>
      <c r="AE32" s="114">
        <v>1.104029248127691</v>
      </c>
      <c r="AF32" s="382">
        <v>4.5751780005386768</v>
      </c>
      <c r="AG32" s="163">
        <v>2.3086166085705333E-2</v>
      </c>
      <c r="AH32" s="436">
        <v>4.5868885040035909</v>
      </c>
      <c r="AI32" s="434">
        <v>2.6617418006570748E-2</v>
      </c>
      <c r="AJ32" s="21">
        <v>0</v>
      </c>
      <c r="AL32" s="21">
        <v>0</v>
      </c>
    </row>
    <row r="33" spans="1:38" s="21" customFormat="1" x14ac:dyDescent="0.15">
      <c r="A33" s="113" t="s">
        <v>630</v>
      </c>
      <c r="B33" s="324">
        <v>20207.324023564895</v>
      </c>
      <c r="C33" s="114">
        <v>0.10581452580061936</v>
      </c>
      <c r="D33" s="114">
        <v>33611.715226840934</v>
      </c>
      <c r="E33" s="114">
        <v>6.9713828344449669E-2</v>
      </c>
      <c r="F33" s="114">
        <v>18274.845127934805</v>
      </c>
      <c r="G33" s="114">
        <v>0.10782795825209025</v>
      </c>
      <c r="H33" s="114">
        <v>18274.845127934805</v>
      </c>
      <c r="I33" s="114">
        <v>0.10782795825209025</v>
      </c>
      <c r="J33" s="114">
        <v>73119.712980703553</v>
      </c>
      <c r="K33" s="114">
        <v>4.1029289697500144E-2</v>
      </c>
      <c r="L33" s="114">
        <v>2118.590905427076</v>
      </c>
      <c r="M33" s="114"/>
      <c r="N33" s="114">
        <v>2.1754234345741796</v>
      </c>
      <c r="O33" s="114">
        <v>1.9634069473929499</v>
      </c>
      <c r="P33" s="324">
        <v>1945.5531203880466</v>
      </c>
      <c r="Q33" s="114">
        <v>8.3175036138138196</v>
      </c>
      <c r="R33" s="114">
        <v>962086.97835456615</v>
      </c>
      <c r="S33" s="114">
        <v>0.55466923112023325</v>
      </c>
      <c r="T33" s="114">
        <v>2445.241357083195</v>
      </c>
      <c r="U33" s="114">
        <v>7.103799829121737</v>
      </c>
      <c r="V33" s="114">
        <v>2174.0700498641718</v>
      </c>
      <c r="W33" s="114">
        <v>4.897117366372461</v>
      </c>
      <c r="X33" s="114">
        <v>4322343.5716897193</v>
      </c>
      <c r="Y33" s="114">
        <v>0.5731361577247378</v>
      </c>
      <c r="Z33" s="114">
        <v>1920.5060138635847</v>
      </c>
      <c r="AA33" s="114">
        <v>13.119412693208481</v>
      </c>
      <c r="AB33" s="114">
        <v>926301.1930778611</v>
      </c>
      <c r="AC33" s="114">
        <v>0.57784691163149482</v>
      </c>
      <c r="AD33" s="114">
        <v>4247303.3526951512</v>
      </c>
      <c r="AE33" s="114">
        <v>0.58232808132762859</v>
      </c>
      <c r="AF33" s="382">
        <v>4.5739542815099501</v>
      </c>
      <c r="AG33" s="163">
        <v>2.318016053038903E-2</v>
      </c>
      <c r="AH33" s="436">
        <v>4.5851530466282595</v>
      </c>
      <c r="AI33" s="434">
        <v>2.2413994629522781E-2</v>
      </c>
      <c r="AJ33" s="21">
        <v>0</v>
      </c>
      <c r="AL33" s="21">
        <v>0</v>
      </c>
    </row>
    <row r="34" spans="1:38" s="21" customFormat="1" x14ac:dyDescent="0.15">
      <c r="A34" s="113" t="s">
        <v>631</v>
      </c>
      <c r="B34" s="324">
        <v>18734.302657568081</v>
      </c>
      <c r="C34" s="114">
        <v>0.11169647426863608</v>
      </c>
      <c r="D34" s="114">
        <v>30939.952823019798</v>
      </c>
      <c r="E34" s="114">
        <v>6.4391285874104684E-2</v>
      </c>
      <c r="F34" s="114">
        <v>17478.181377756955</v>
      </c>
      <c r="G34" s="114">
        <v>0.11397980493987028</v>
      </c>
      <c r="H34" s="114">
        <v>17478.181377756955</v>
      </c>
      <c r="I34" s="114">
        <v>0.11397980493987028</v>
      </c>
      <c r="J34" s="114">
        <v>65373.230912628991</v>
      </c>
      <c r="K34" s="114">
        <v>4.3673149945250053E-2</v>
      </c>
      <c r="L34" s="114">
        <v>1946.136905948764</v>
      </c>
      <c r="M34" s="114"/>
      <c r="N34" s="114">
        <v>2.1129066125786173</v>
      </c>
      <c r="O34" s="114">
        <v>1.8859017007503751</v>
      </c>
      <c r="P34" s="324">
        <v>1933.9608443477421</v>
      </c>
      <c r="Q34" s="114">
        <v>9.2809324210998536</v>
      </c>
      <c r="R34" s="114">
        <v>872791.63724778278</v>
      </c>
      <c r="S34" s="114">
        <v>0.79944755060383099</v>
      </c>
      <c r="T34" s="114">
        <v>1874.1349551585233</v>
      </c>
      <c r="U34" s="114">
        <v>8.5563923023575565</v>
      </c>
      <c r="V34" s="114">
        <v>1906.601327959848</v>
      </c>
      <c r="W34" s="114">
        <v>6.6759385716284276</v>
      </c>
      <c r="X34" s="114">
        <v>3913670.5581306908</v>
      </c>
      <c r="Y34" s="114">
        <v>0.82228282490163385</v>
      </c>
      <c r="Z34" s="114">
        <v>869.04910850550982</v>
      </c>
      <c r="AA34" s="114">
        <v>23.590310064211351</v>
      </c>
      <c r="AB34" s="114">
        <v>839945.08309680258</v>
      </c>
      <c r="AC34" s="114">
        <v>0.83114353785250017</v>
      </c>
      <c r="AD34" s="114">
        <v>3847428.2781095584</v>
      </c>
      <c r="AE34" s="114">
        <v>0.83642217342704972</v>
      </c>
      <c r="AF34" s="382">
        <v>4.5699313841133069</v>
      </c>
      <c r="AG34" s="163">
        <v>1.9903153192600456E-2</v>
      </c>
      <c r="AH34" s="436">
        <v>4.5804570037251793</v>
      </c>
      <c r="AI34" s="434">
        <v>2.2317133958156158E-2</v>
      </c>
      <c r="AJ34" s="21">
        <v>0</v>
      </c>
      <c r="AL34" s="21">
        <v>0</v>
      </c>
    </row>
    <row r="35" spans="1:38" s="21" customFormat="1" x14ac:dyDescent="0.15">
      <c r="A35" s="113" t="s">
        <v>632</v>
      </c>
      <c r="B35" s="324">
        <v>18737.454953762874</v>
      </c>
      <c r="C35" s="114">
        <v>0.11820779765741285</v>
      </c>
      <c r="D35" s="114">
        <v>31048.861287699448</v>
      </c>
      <c r="E35" s="114">
        <v>0.13242992040428192</v>
      </c>
      <c r="F35" s="114">
        <v>17268.274930032498</v>
      </c>
      <c r="G35" s="114">
        <v>0.1308138260541431</v>
      </c>
      <c r="H35" s="114">
        <v>17268.274930032498</v>
      </c>
      <c r="I35" s="114">
        <v>0.1308138260541431</v>
      </c>
      <c r="J35" s="114">
        <v>66620.958333209564</v>
      </c>
      <c r="K35" s="114">
        <v>0.25161986933716601</v>
      </c>
      <c r="L35" s="114">
        <v>1981.7607578987308</v>
      </c>
      <c r="M35" s="114"/>
      <c r="N35" s="114">
        <v>2.1456812124573026</v>
      </c>
      <c r="O35" s="114">
        <v>1.9216147848936009</v>
      </c>
      <c r="P35" s="324">
        <v>2000.009759784803</v>
      </c>
      <c r="Q35" s="114">
        <v>8.3751776574061516</v>
      </c>
      <c r="R35" s="114">
        <v>868292.70560925547</v>
      </c>
      <c r="S35" s="114">
        <v>0.60147137374381043</v>
      </c>
      <c r="T35" s="114">
        <v>1971.0670649245226</v>
      </c>
      <c r="U35" s="114">
        <v>9.0636422336845897</v>
      </c>
      <c r="V35" s="114">
        <v>1986.77371523835</v>
      </c>
      <c r="W35" s="114">
        <v>5.4279716009042893</v>
      </c>
      <c r="X35" s="114">
        <v>3892843.0166127291</v>
      </c>
      <c r="Y35" s="114">
        <v>0.62352139606042545</v>
      </c>
      <c r="Z35" s="114">
        <v>1329.6638044333349</v>
      </c>
      <c r="AA35" s="114">
        <v>18.611909278891563</v>
      </c>
      <c r="AB35" s="114">
        <v>835257.0706063176</v>
      </c>
      <c r="AC35" s="114">
        <v>0.62690846484085672</v>
      </c>
      <c r="AD35" s="114">
        <v>3824892.3944750861</v>
      </c>
      <c r="AE35" s="114">
        <v>0.63408706390045755</v>
      </c>
      <c r="AF35" s="382">
        <v>4.5681222562627299</v>
      </c>
      <c r="AG35" s="163">
        <v>2.3168214392473754E-2</v>
      </c>
      <c r="AH35" s="436">
        <v>4.5791626027489771</v>
      </c>
      <c r="AI35" s="434">
        <v>2.4134428919739093E-2</v>
      </c>
      <c r="AJ35" s="21">
        <v>0</v>
      </c>
      <c r="AL35" s="21">
        <v>0</v>
      </c>
    </row>
    <row r="36" spans="1:38" s="21" customFormat="1" x14ac:dyDescent="0.15">
      <c r="A36" s="113"/>
      <c r="B36" s="324"/>
      <c r="C36" s="114"/>
      <c r="D36" s="114"/>
      <c r="E36" s="114"/>
      <c r="F36" s="114"/>
      <c r="G36" s="114"/>
      <c r="H36" s="114"/>
      <c r="I36" s="114"/>
      <c r="J36" s="114"/>
      <c r="K36" s="114"/>
      <c r="L36" s="114"/>
      <c r="M36" s="114"/>
      <c r="N36" s="114"/>
      <c r="O36" s="114"/>
      <c r="P36" s="324"/>
      <c r="Q36" s="114"/>
      <c r="R36" s="114"/>
      <c r="S36" s="114"/>
      <c r="T36" s="114"/>
      <c r="U36" s="114"/>
      <c r="V36" s="114"/>
      <c r="W36" s="114"/>
      <c r="X36" s="114"/>
      <c r="Y36" s="114"/>
      <c r="Z36" s="114"/>
      <c r="AA36" s="114"/>
      <c r="AB36" s="114"/>
      <c r="AC36" s="114"/>
      <c r="AD36" s="114"/>
      <c r="AE36" s="114"/>
      <c r="AF36" s="382"/>
      <c r="AG36" s="163"/>
      <c r="AH36" s="436"/>
      <c r="AI36" s="434"/>
    </row>
    <row r="37" spans="1:38" s="21" customFormat="1" x14ac:dyDescent="0.15">
      <c r="A37" s="113"/>
      <c r="B37" s="324"/>
      <c r="C37" s="114"/>
      <c r="D37" s="114"/>
      <c r="E37" s="114"/>
      <c r="F37" s="114"/>
      <c r="G37" s="114"/>
      <c r="H37" s="114"/>
      <c r="I37" s="114"/>
      <c r="J37" s="114"/>
      <c r="K37" s="114"/>
      <c r="L37" s="114"/>
      <c r="M37" s="114"/>
      <c r="N37" s="114"/>
      <c r="O37" s="114"/>
      <c r="P37" s="324"/>
      <c r="Q37" s="114"/>
      <c r="R37" s="114"/>
      <c r="S37" s="114"/>
      <c r="T37" s="114"/>
      <c r="U37" s="114"/>
      <c r="V37" s="114"/>
      <c r="W37" s="114"/>
      <c r="X37" s="114"/>
      <c r="Y37" s="114"/>
      <c r="Z37" s="114"/>
      <c r="AA37" s="114"/>
      <c r="AB37" s="114"/>
      <c r="AC37" s="114"/>
      <c r="AD37" s="114"/>
      <c r="AE37" s="114"/>
      <c r="AF37" s="382"/>
      <c r="AG37" s="163"/>
      <c r="AH37" s="436"/>
      <c r="AI37" s="434"/>
    </row>
    <row r="38" spans="1:38" s="21" customFormat="1" x14ac:dyDescent="0.15">
      <c r="A38" s="113" t="s">
        <v>633</v>
      </c>
      <c r="B38" s="324">
        <v>23559.601825173599</v>
      </c>
      <c r="C38" s="114">
        <v>9.7081608885752221E-2</v>
      </c>
      <c r="D38" s="114">
        <v>39821.754622268389</v>
      </c>
      <c r="E38" s="114">
        <v>5.2734228832044518E-2</v>
      </c>
      <c r="F38" s="114">
        <v>21276.717926484707</v>
      </c>
      <c r="G38" s="114">
        <v>8.3142180628112947E-2</v>
      </c>
      <c r="H38" s="114">
        <v>21276.717926484707</v>
      </c>
      <c r="I38" s="114">
        <v>8.3142180628112947E-2</v>
      </c>
      <c r="J38" s="114">
        <v>88281.490814955483</v>
      </c>
      <c r="K38" s="114">
        <v>4.0804241585726791E-2</v>
      </c>
      <c r="L38" s="114">
        <v>6246.6506861390899</v>
      </c>
      <c r="M38" s="114"/>
      <c r="N38" s="114">
        <v>2.2169161467734106</v>
      </c>
      <c r="O38" s="114">
        <v>2.2455587365632934</v>
      </c>
      <c r="P38" s="324">
        <v>6886.8399414304231</v>
      </c>
      <c r="Q38" s="114">
        <v>2.0640036584521235</v>
      </c>
      <c r="R38" s="114">
        <v>1343928.8704515912</v>
      </c>
      <c r="S38" s="114">
        <v>0.65156367214665545</v>
      </c>
      <c r="T38" s="114">
        <v>5670.1809255001936</v>
      </c>
      <c r="U38" s="114">
        <v>2.9380899212304077</v>
      </c>
      <c r="V38" s="114">
        <v>6330.4386453369943</v>
      </c>
      <c r="W38" s="114">
        <v>1.747940181027078</v>
      </c>
      <c r="X38" s="114">
        <v>6029527.3459334169</v>
      </c>
      <c r="Y38" s="114">
        <v>0.66448734844965252</v>
      </c>
      <c r="Z38" s="114">
        <v>5182.2185899251645</v>
      </c>
      <c r="AA38" s="114">
        <v>4.2206028186747</v>
      </c>
      <c r="AB38" s="114">
        <v>1297776.6771839862</v>
      </c>
      <c r="AC38" s="114">
        <v>0.67345096321215292</v>
      </c>
      <c r="AD38" s="114">
        <v>5936063.6365285385</v>
      </c>
      <c r="AE38" s="114">
        <v>0.67396473055276862</v>
      </c>
      <c r="AF38" s="382">
        <v>4.5516819220909115</v>
      </c>
      <c r="AG38" s="163">
        <v>1.5493223509148564E-2</v>
      </c>
      <c r="AH38" s="436">
        <v>4.5740256176346774</v>
      </c>
      <c r="AI38" s="434">
        <v>1.6187375236716147E-2</v>
      </c>
      <c r="AJ38" s="21">
        <v>0</v>
      </c>
      <c r="AL38" s="21">
        <v>0</v>
      </c>
    </row>
    <row r="39" spans="1:38" s="21" customFormat="1" x14ac:dyDescent="0.15">
      <c r="A39" s="113" t="s">
        <v>634</v>
      </c>
      <c r="B39" s="324">
        <v>23738.586153475862</v>
      </c>
      <c r="C39" s="114">
        <v>8.8544470714342946E-2</v>
      </c>
      <c r="D39" s="114">
        <v>39498.588787819819</v>
      </c>
      <c r="E39" s="114">
        <v>4.5811567165078844E-2</v>
      </c>
      <c r="F39" s="114">
        <v>21569.557183934758</v>
      </c>
      <c r="G39" s="114">
        <v>8.3381592565784063E-2</v>
      </c>
      <c r="H39" s="114">
        <v>21569.557183934758</v>
      </c>
      <c r="I39" s="114">
        <v>8.3381592565784063E-2</v>
      </c>
      <c r="J39" s="114">
        <v>86725.209363732123</v>
      </c>
      <c r="K39" s="114">
        <v>4.6228112438816998E-2</v>
      </c>
      <c r="L39" s="114">
        <v>6123.3869814408181</v>
      </c>
      <c r="M39" s="114"/>
      <c r="N39" s="114">
        <v>2.1956533644684435</v>
      </c>
      <c r="O39" s="114">
        <v>2.2255165801917731</v>
      </c>
      <c r="P39" s="324">
        <v>6690.6339282598301</v>
      </c>
      <c r="Q39" s="114">
        <v>2.9974999755140082</v>
      </c>
      <c r="R39" s="114">
        <v>1187999.2450947433</v>
      </c>
      <c r="S39" s="114">
        <v>0.61267127948965605</v>
      </c>
      <c r="T39" s="114">
        <v>5326.500571547037</v>
      </c>
      <c r="U39" s="114">
        <v>3.0144313947815844</v>
      </c>
      <c r="V39" s="114">
        <v>6066.7898127095423</v>
      </c>
      <c r="W39" s="114">
        <v>2.2093653882802466</v>
      </c>
      <c r="X39" s="114">
        <v>5320504.9560634997</v>
      </c>
      <c r="Y39" s="114">
        <v>0.63124261186412689</v>
      </c>
      <c r="Z39" s="114">
        <v>5299.6469001631194</v>
      </c>
      <c r="AA39" s="114">
        <v>4.6889981482307617</v>
      </c>
      <c r="AB39" s="114">
        <v>1142433.866494213</v>
      </c>
      <c r="AC39" s="114">
        <v>0.6356114222101189</v>
      </c>
      <c r="AD39" s="114">
        <v>5228480.0997996051</v>
      </c>
      <c r="AE39" s="114">
        <v>0.642534231399705</v>
      </c>
      <c r="AF39" s="382">
        <v>4.5526430524172152</v>
      </c>
      <c r="AG39" s="163">
        <v>2.2598138808476529E-2</v>
      </c>
      <c r="AH39" s="436">
        <v>4.5764755931919749</v>
      </c>
      <c r="AI39" s="434">
        <v>2.3634644975197794E-2</v>
      </c>
      <c r="AJ39" s="21">
        <v>0</v>
      </c>
      <c r="AL39" s="21">
        <v>0</v>
      </c>
    </row>
    <row r="40" spans="1:38" s="21" customFormat="1" x14ac:dyDescent="0.15">
      <c r="A40" s="113" t="s">
        <v>635</v>
      </c>
      <c r="B40" s="324">
        <v>22693.914161246787</v>
      </c>
      <c r="C40" s="114">
        <v>0.10348204679610824</v>
      </c>
      <c r="D40" s="114">
        <v>38075.551309189381</v>
      </c>
      <c r="E40" s="114">
        <v>6.1050441329648542E-2</v>
      </c>
      <c r="F40" s="114">
        <v>20978.386679158797</v>
      </c>
      <c r="G40" s="114">
        <v>0.11490248715132383</v>
      </c>
      <c r="H40" s="114">
        <v>20978.386679158797</v>
      </c>
      <c r="I40" s="114">
        <v>0.11490248715132383</v>
      </c>
      <c r="J40" s="114">
        <v>81723.093275414663</v>
      </c>
      <c r="K40" s="114">
        <v>5.1069833009300611E-2</v>
      </c>
      <c r="L40" s="114">
        <v>6272.3693015749241</v>
      </c>
      <c r="M40" s="114"/>
      <c r="N40" s="114">
        <v>2.1463403802557974</v>
      </c>
      <c r="O40" s="114">
        <v>2.142420096396275</v>
      </c>
      <c r="P40" s="324">
        <v>6993.1133308275203</v>
      </c>
      <c r="Q40" s="114">
        <v>2.4114948920501553</v>
      </c>
      <c r="R40" s="114">
        <v>1375410.6396696463</v>
      </c>
      <c r="S40" s="114">
        <v>0.8249204632295899</v>
      </c>
      <c r="T40" s="114">
        <v>5568.0118883681826</v>
      </c>
      <c r="U40" s="114">
        <v>2.7207319072681049</v>
      </c>
      <c r="V40" s="114">
        <v>6341.3873506910559</v>
      </c>
      <c r="W40" s="114">
        <v>1.9536476065355797</v>
      </c>
      <c r="X40" s="114">
        <v>6184650.4291969836</v>
      </c>
      <c r="Y40" s="114">
        <v>0.84134734390542865</v>
      </c>
      <c r="Z40" s="114">
        <v>4163.7751317029788</v>
      </c>
      <c r="AA40" s="114">
        <v>5.0331849591183495</v>
      </c>
      <c r="AB40" s="114">
        <v>1330993.7010097667</v>
      </c>
      <c r="AC40" s="114">
        <v>0.84894090696019486</v>
      </c>
      <c r="AD40" s="114">
        <v>6098763.5607898636</v>
      </c>
      <c r="AE40" s="114">
        <v>0.85202779399211126</v>
      </c>
      <c r="AF40" s="382">
        <v>4.5603031234014759</v>
      </c>
      <c r="AG40" s="163">
        <v>1.576989365270362E-2</v>
      </c>
      <c r="AH40" s="436">
        <v>4.5820443687853807</v>
      </c>
      <c r="AI40" s="434">
        <v>1.6571783360878285E-2</v>
      </c>
      <c r="AJ40" s="21">
        <v>0</v>
      </c>
      <c r="AL40" s="21">
        <v>0</v>
      </c>
    </row>
    <row r="41" spans="1:38" s="21" customFormat="1" x14ac:dyDescent="0.15">
      <c r="A41" s="113" t="s">
        <v>636</v>
      </c>
      <c r="B41" s="324">
        <v>23112.734963052579</v>
      </c>
      <c r="C41" s="114">
        <v>9.6592521400601122E-2</v>
      </c>
      <c r="D41" s="114">
        <v>38170.32886870754</v>
      </c>
      <c r="E41" s="114">
        <v>5.4041853866360935E-2</v>
      </c>
      <c r="F41" s="114">
        <v>21305.439214495396</v>
      </c>
      <c r="G41" s="114">
        <v>0.10266435805789272</v>
      </c>
      <c r="H41" s="114">
        <v>21305.439214495396</v>
      </c>
      <c r="I41" s="114">
        <v>0.10266435805789272</v>
      </c>
      <c r="J41" s="114">
        <v>81485.323723592664</v>
      </c>
      <c r="K41" s="114">
        <v>4.0072709173347987E-2</v>
      </c>
      <c r="L41" s="114">
        <v>5782.0017412552043</v>
      </c>
      <c r="M41" s="114"/>
      <c r="N41" s="114">
        <v>2.134781809291542</v>
      </c>
      <c r="O41" s="114">
        <v>2.1503895544662566</v>
      </c>
      <c r="P41" s="324">
        <v>6321.1050332773993</v>
      </c>
      <c r="Q41" s="114">
        <v>2.5736356566366085</v>
      </c>
      <c r="R41" s="114">
        <v>1269859.9831340883</v>
      </c>
      <c r="S41" s="114">
        <v>0.36072366009726936</v>
      </c>
      <c r="T41" s="114">
        <v>5033.5688437076897</v>
      </c>
      <c r="U41" s="114">
        <v>3.1861033145179278</v>
      </c>
      <c r="V41" s="114">
        <v>5732.290258337317</v>
      </c>
      <c r="W41" s="114">
        <v>1.7958890200214523</v>
      </c>
      <c r="X41" s="114">
        <v>5700633.7601226661</v>
      </c>
      <c r="Y41" s="114">
        <v>0.36950419989755079</v>
      </c>
      <c r="Z41" s="114">
        <v>3987.286844594933</v>
      </c>
      <c r="AA41" s="114">
        <v>5.1957068398320807</v>
      </c>
      <c r="AB41" s="114">
        <v>1225957.3640070437</v>
      </c>
      <c r="AC41" s="114">
        <v>0.3742483316661448</v>
      </c>
      <c r="AD41" s="114">
        <v>5615161.1495544752</v>
      </c>
      <c r="AE41" s="114">
        <v>0.374701255203156</v>
      </c>
      <c r="AF41" s="382">
        <v>4.5597271868643512</v>
      </c>
      <c r="AG41" s="163">
        <v>2.0329726700229395E-2</v>
      </c>
      <c r="AH41" s="436">
        <v>4.5802276883203232</v>
      </c>
      <c r="AI41" s="434">
        <v>2.0860612028848938E-2</v>
      </c>
      <c r="AJ41" s="21">
        <v>0</v>
      </c>
      <c r="AL41" s="21">
        <v>0</v>
      </c>
    </row>
    <row r="42" spans="1:38" s="21" customFormat="1" x14ac:dyDescent="0.15">
      <c r="A42" s="113" t="s">
        <v>637</v>
      </c>
      <c r="B42" s="324">
        <v>21535.699749306012</v>
      </c>
      <c r="C42" s="114">
        <v>0.11246238763088774</v>
      </c>
      <c r="D42" s="114">
        <v>36039.72789176066</v>
      </c>
      <c r="E42" s="114">
        <v>5.7963605427683043E-2</v>
      </c>
      <c r="F42" s="114">
        <v>19918.654700015104</v>
      </c>
      <c r="G42" s="114">
        <v>9.7710082918227956E-2</v>
      </c>
      <c r="H42" s="114">
        <v>19918.654700015104</v>
      </c>
      <c r="I42" s="114">
        <v>9.7710082918227956E-2</v>
      </c>
      <c r="J42" s="114">
        <v>77234.588896718909</v>
      </c>
      <c r="K42" s="114">
        <v>5.4421565127711409E-2</v>
      </c>
      <c r="L42" s="114">
        <v>5793.6358061685269</v>
      </c>
      <c r="M42" s="114"/>
      <c r="N42" s="114">
        <v>2.143040289557129</v>
      </c>
      <c r="O42" s="114">
        <v>2.1393090691439975</v>
      </c>
      <c r="P42" s="324">
        <v>6418.6313200583309</v>
      </c>
      <c r="Q42" s="114">
        <v>2.5419734377168579</v>
      </c>
      <c r="R42" s="114">
        <v>1228874.9182469521</v>
      </c>
      <c r="S42" s="114">
        <v>0.67345454981889086</v>
      </c>
      <c r="T42" s="114">
        <v>5062.0400421526374</v>
      </c>
      <c r="U42" s="114">
        <v>3.3122680043746553</v>
      </c>
      <c r="V42" s="114">
        <v>5798.2363405178585</v>
      </c>
      <c r="W42" s="114">
        <v>1.8533763219106396</v>
      </c>
      <c r="X42" s="114">
        <v>5515361.7038234547</v>
      </c>
      <c r="Y42" s="114">
        <v>0.69009241698397206</v>
      </c>
      <c r="Z42" s="114">
        <v>4232.5683254698679</v>
      </c>
      <c r="AA42" s="114">
        <v>5.5457975515229228</v>
      </c>
      <c r="AB42" s="114">
        <v>1187036.9540146734</v>
      </c>
      <c r="AC42" s="114">
        <v>0.69621127740563182</v>
      </c>
      <c r="AD42" s="114">
        <v>5433894.5466012657</v>
      </c>
      <c r="AE42" s="114">
        <v>0.70039092686198623</v>
      </c>
      <c r="AF42" s="382">
        <v>4.5542839354398241</v>
      </c>
      <c r="AG42" s="163">
        <v>1.7524773962443087E-2</v>
      </c>
      <c r="AH42" s="436">
        <v>4.57761007196956</v>
      </c>
      <c r="AI42" s="434">
        <v>1.9360855436848179E-2</v>
      </c>
      <c r="AJ42" s="21">
        <v>0</v>
      </c>
      <c r="AL42" s="21">
        <v>0</v>
      </c>
    </row>
    <row r="43" spans="1:38" s="21" customFormat="1" x14ac:dyDescent="0.15">
      <c r="A43" s="113" t="s">
        <v>638</v>
      </c>
      <c r="B43" s="324">
        <v>21892.638610621059</v>
      </c>
      <c r="C43" s="114">
        <v>9.1614530178988227E-2</v>
      </c>
      <c r="D43" s="114">
        <v>36333.518871671964</v>
      </c>
      <c r="E43" s="114">
        <v>9.6584341440713581E-2</v>
      </c>
      <c r="F43" s="114">
        <v>20040.40241323927</v>
      </c>
      <c r="G43" s="114">
        <v>9.7667505979999888E-2</v>
      </c>
      <c r="H43" s="114">
        <v>20040.40241323927</v>
      </c>
      <c r="I43" s="114">
        <v>9.7667505979999888E-2</v>
      </c>
      <c r="J43" s="114">
        <v>77535.007101856259</v>
      </c>
      <c r="K43" s="114">
        <v>0.18186903620220199</v>
      </c>
      <c r="L43" s="114">
        <v>4567.1402222511506</v>
      </c>
      <c r="M43" s="114"/>
      <c r="N43" s="114">
        <v>2.1339801238549376</v>
      </c>
      <c r="O43" s="114">
        <v>2.0489331053379654</v>
      </c>
      <c r="P43" s="324">
        <v>4996.5298669405101</v>
      </c>
      <c r="Q43" s="114">
        <v>3.3570351935919338</v>
      </c>
      <c r="R43" s="114">
        <v>1121589.5836166611</v>
      </c>
      <c r="S43" s="114">
        <v>1.3762506509683194</v>
      </c>
      <c r="T43" s="114">
        <v>4086.3715338927796</v>
      </c>
      <c r="U43" s="114">
        <v>4.3978366240836566</v>
      </c>
      <c r="V43" s="114">
        <v>4580.2971595612798</v>
      </c>
      <c r="W43" s="114">
        <v>2.7183376014095271</v>
      </c>
      <c r="X43" s="114">
        <v>5029782.7609843155</v>
      </c>
      <c r="Y43" s="114">
        <v>1.408106107129633</v>
      </c>
      <c r="Z43" s="114">
        <v>4422.2745181438459</v>
      </c>
      <c r="AA43" s="114">
        <v>4.5182741458056617</v>
      </c>
      <c r="AB43" s="114">
        <v>1080675.7675854275</v>
      </c>
      <c r="AC43" s="114">
        <v>1.428522753763636</v>
      </c>
      <c r="AD43" s="114">
        <v>4947825.4793643141</v>
      </c>
      <c r="AE43" s="114">
        <v>1.430677612458557</v>
      </c>
      <c r="AF43" s="382">
        <v>4.5584416046997909</v>
      </c>
      <c r="AG43" s="163">
        <v>2.1738273271182725E-2</v>
      </c>
      <c r="AH43" s="436">
        <v>4.5783628721590528</v>
      </c>
      <c r="AI43" s="434">
        <v>2.16465937349807E-2</v>
      </c>
      <c r="AJ43" s="21">
        <v>0</v>
      </c>
      <c r="AL43" s="21">
        <v>0</v>
      </c>
    </row>
    <row r="44" spans="1:38" s="21" customFormat="1" x14ac:dyDescent="0.15">
      <c r="A44" s="113" t="s">
        <v>639</v>
      </c>
      <c r="B44" s="324">
        <v>20663.746610826045</v>
      </c>
      <c r="C44" s="114">
        <v>9.2937044059919427E-2</v>
      </c>
      <c r="D44" s="114">
        <v>34521.532181686707</v>
      </c>
      <c r="E44" s="114">
        <v>5.7531925152122354E-2</v>
      </c>
      <c r="F44" s="114">
        <v>19035.053227614444</v>
      </c>
      <c r="G44" s="114">
        <v>0.10891080953627283</v>
      </c>
      <c r="H44" s="114">
        <v>19035.053227614444</v>
      </c>
      <c r="I44" s="114">
        <v>0.10891080953627283</v>
      </c>
      <c r="J44" s="114">
        <v>74151.919166003194</v>
      </c>
      <c r="K44" s="114">
        <v>5.4037975274275792E-2</v>
      </c>
      <c r="L44" s="114">
        <v>5518.2895363248508</v>
      </c>
      <c r="M44" s="114"/>
      <c r="N44" s="114">
        <v>2.147990383965054</v>
      </c>
      <c r="O44" s="114">
        <v>2.1240033176205424</v>
      </c>
      <c r="P44" s="324">
        <v>5962.4839036314752</v>
      </c>
      <c r="Q44" s="114">
        <v>2.815421215449863</v>
      </c>
      <c r="R44" s="114">
        <v>1271063.0115146523</v>
      </c>
      <c r="S44" s="114">
        <v>0.91722595386828698</v>
      </c>
      <c r="T44" s="114">
        <v>4975.4983429280483</v>
      </c>
      <c r="U44" s="114">
        <v>3.0304256502838096</v>
      </c>
      <c r="V44" s="114">
        <v>5511.116644596279</v>
      </c>
      <c r="W44" s="114">
        <v>2.1602968078173665</v>
      </c>
      <c r="X44" s="114">
        <v>5710334.3545017717</v>
      </c>
      <c r="Y44" s="114">
        <v>0.9351727804628599</v>
      </c>
      <c r="Z44" s="114">
        <v>4294.5914225343913</v>
      </c>
      <c r="AA44" s="114">
        <v>5.9795411311905973</v>
      </c>
      <c r="AB44" s="114">
        <v>1231030.36268837</v>
      </c>
      <c r="AC44" s="114">
        <v>0.94654172309514473</v>
      </c>
      <c r="AD44" s="114">
        <v>5631887.843913231</v>
      </c>
      <c r="AE44" s="114">
        <v>0.94728544107619161</v>
      </c>
      <c r="AF44" s="382">
        <v>4.5553110842891309</v>
      </c>
      <c r="AG44" s="163">
        <v>1.7889290029270203E-2</v>
      </c>
      <c r="AH44" s="436">
        <v>4.5749242198293123</v>
      </c>
      <c r="AI44" s="434">
        <v>1.5451877103471066E-2</v>
      </c>
      <c r="AJ44" s="21">
        <v>0</v>
      </c>
      <c r="AL44" s="21">
        <v>0</v>
      </c>
    </row>
    <row r="45" spans="1:38" s="21" customFormat="1" x14ac:dyDescent="0.15">
      <c r="A45" s="113" t="s">
        <v>640</v>
      </c>
      <c r="B45" s="324">
        <v>20871.058655073673</v>
      </c>
      <c r="C45" s="114">
        <v>0.10285201528490995</v>
      </c>
      <c r="D45" s="114">
        <v>34920.958164397423</v>
      </c>
      <c r="E45" s="114">
        <v>0.12375618180657226</v>
      </c>
      <c r="F45" s="114">
        <v>19345.417161042958</v>
      </c>
      <c r="G45" s="114">
        <v>9.5337752916562254E-2</v>
      </c>
      <c r="H45" s="114">
        <v>19345.417161042958</v>
      </c>
      <c r="I45" s="114">
        <v>9.5337752916562254E-2</v>
      </c>
      <c r="J45" s="114">
        <v>75621.222569392587</v>
      </c>
      <c r="K45" s="114">
        <v>0.22064441274696678</v>
      </c>
      <c r="L45" s="114">
        <v>5488.7215168211633</v>
      </c>
      <c r="M45" s="114"/>
      <c r="N45" s="114">
        <v>2.1654967831463985</v>
      </c>
      <c r="O45" s="114">
        <v>2.1760509976890865</v>
      </c>
      <c r="P45" s="324">
        <v>6147.4072270037741</v>
      </c>
      <c r="Q45" s="114">
        <v>3.2124801473133964</v>
      </c>
      <c r="R45" s="114">
        <v>1119162.6842542044</v>
      </c>
      <c r="S45" s="114">
        <v>1.0637771595712744</v>
      </c>
      <c r="T45" s="114">
        <v>4924.2940157163785</v>
      </c>
      <c r="U45" s="114">
        <v>3.8477741568168176</v>
      </c>
      <c r="V45" s="114">
        <v>5588.0543046823341</v>
      </c>
      <c r="W45" s="114">
        <v>2.3524360444760055</v>
      </c>
      <c r="X45" s="114">
        <v>5015431.8931734459</v>
      </c>
      <c r="Y45" s="114">
        <v>1.0811988081343613</v>
      </c>
      <c r="Z45" s="114">
        <v>3975.6093102437585</v>
      </c>
      <c r="AA45" s="114">
        <v>5.7971381264481243</v>
      </c>
      <c r="AB45" s="114">
        <v>1078653.6717851248</v>
      </c>
      <c r="AC45" s="114">
        <v>1.1010381359199686</v>
      </c>
      <c r="AD45" s="114">
        <v>4935835.0612938097</v>
      </c>
      <c r="AE45" s="114">
        <v>1.0984556841992807</v>
      </c>
      <c r="AF45" s="382">
        <v>4.5524377048781002</v>
      </c>
      <c r="AG45" s="163">
        <v>1.6650696760288648E-2</v>
      </c>
      <c r="AH45" s="436">
        <v>4.5760433377249834</v>
      </c>
      <c r="AI45" s="434">
        <v>2.0733933286610211E-2</v>
      </c>
      <c r="AJ45" s="21">
        <v>0</v>
      </c>
      <c r="AL45" s="21">
        <v>0</v>
      </c>
    </row>
    <row r="46" spans="1:38" s="21" customFormat="1" x14ac:dyDescent="0.15">
      <c r="A46" s="113" t="s">
        <v>641</v>
      </c>
      <c r="B46" s="324">
        <v>19957.160110076373</v>
      </c>
      <c r="C46" s="114">
        <v>0.11321396689601755</v>
      </c>
      <c r="D46" s="114">
        <v>33408.890697185023</v>
      </c>
      <c r="E46" s="114">
        <v>6.6709324369386508E-2</v>
      </c>
      <c r="F46" s="114">
        <v>18275.177966714644</v>
      </c>
      <c r="G46" s="114">
        <v>0.1128768852651014</v>
      </c>
      <c r="H46" s="114">
        <v>18275.177966714644</v>
      </c>
      <c r="I46" s="114">
        <v>0.1128768852651014</v>
      </c>
      <c r="J46" s="114">
        <v>71732.401135390654</v>
      </c>
      <c r="K46" s="114">
        <v>4.9091934979041608E-2</v>
      </c>
      <c r="L46" s="114">
        <v>5473.2019807756515</v>
      </c>
      <c r="M46" s="114"/>
      <c r="N46" s="114">
        <v>2.1471051459195771</v>
      </c>
      <c r="O46" s="114">
        <v>2.1689411214658971</v>
      </c>
      <c r="P46" s="324">
        <v>5696.8608020572829</v>
      </c>
      <c r="Q46" s="114">
        <v>3.5548713836624688</v>
      </c>
      <c r="R46" s="114">
        <v>1114767.3365661714</v>
      </c>
      <c r="S46" s="114">
        <v>0.82459659763814719</v>
      </c>
      <c r="T46" s="114">
        <v>5300.953739224582</v>
      </c>
      <c r="U46" s="114">
        <v>3.0177564294578567</v>
      </c>
      <c r="V46" s="114">
        <v>5515.8049762191522</v>
      </c>
      <c r="W46" s="114">
        <v>2.4025299120991099</v>
      </c>
      <c r="X46" s="114">
        <v>4994972.4438200733</v>
      </c>
      <c r="Y46" s="114">
        <v>0.83970913802314517</v>
      </c>
      <c r="Z46" s="114">
        <v>4258.7719655629717</v>
      </c>
      <c r="AA46" s="114">
        <v>5.3071900700318038</v>
      </c>
      <c r="AB46" s="114">
        <v>1075842.6408927664</v>
      </c>
      <c r="AC46" s="114">
        <v>0.85171723610438099</v>
      </c>
      <c r="AD46" s="114">
        <v>4918981.2707191184</v>
      </c>
      <c r="AE46" s="114">
        <v>0.85305340210946778</v>
      </c>
      <c r="AF46" s="382">
        <v>4.5490111501356374</v>
      </c>
      <c r="AG46" s="163">
        <v>1.7306836099194305E-2</v>
      </c>
      <c r="AH46" s="436">
        <v>4.5721979842238101</v>
      </c>
      <c r="AI46" s="434">
        <v>2.134718875748268E-2</v>
      </c>
      <c r="AJ46" s="21">
        <v>0</v>
      </c>
      <c r="AL46" s="21">
        <v>0</v>
      </c>
    </row>
    <row r="47" spans="1:38" s="21" customFormat="1" x14ac:dyDescent="0.15">
      <c r="A47" s="113" t="s">
        <v>642</v>
      </c>
      <c r="B47" s="324">
        <v>20055.118892919032</v>
      </c>
      <c r="C47" s="114">
        <v>9.5041627722453628E-2</v>
      </c>
      <c r="D47" s="114">
        <v>33627.397673303341</v>
      </c>
      <c r="E47" s="114">
        <v>0.13903044471797124</v>
      </c>
      <c r="F47" s="114">
        <v>18762.789196911566</v>
      </c>
      <c r="G47" s="114">
        <v>0.12530441264779718</v>
      </c>
      <c r="H47" s="114">
        <v>18762.789196911566</v>
      </c>
      <c r="I47" s="114">
        <v>0.12530441264779718</v>
      </c>
      <c r="J47" s="114">
        <v>72205.945501167138</v>
      </c>
      <c r="K47" s="114">
        <v>0.25063479845585346</v>
      </c>
      <c r="L47" s="114">
        <v>4942.578056712885</v>
      </c>
      <c r="M47" s="114"/>
      <c r="N47" s="114">
        <v>2.1472356024293595</v>
      </c>
      <c r="O47" s="114">
        <v>2.089616622364153</v>
      </c>
      <c r="P47" s="324">
        <v>5217.0815516059829</v>
      </c>
      <c r="Q47" s="114">
        <v>3.6044920678870271</v>
      </c>
      <c r="R47" s="114">
        <v>1092052.1070976919</v>
      </c>
      <c r="S47" s="114">
        <v>0.83183325241191741</v>
      </c>
      <c r="T47" s="114">
        <v>4573.9433521099618</v>
      </c>
      <c r="U47" s="114">
        <v>3.1097108599348595</v>
      </c>
      <c r="V47" s="114">
        <v>4922.9622272255356</v>
      </c>
      <c r="W47" s="114">
        <v>2.2630226799251156</v>
      </c>
      <c r="X47" s="114">
        <v>4892037.0385895502</v>
      </c>
      <c r="Y47" s="114">
        <v>0.84964825467623206</v>
      </c>
      <c r="Z47" s="114">
        <v>3214.8416930079352</v>
      </c>
      <c r="AA47" s="114">
        <v>6.5122697291859151</v>
      </c>
      <c r="AB47" s="114">
        <v>1053501.7471971626</v>
      </c>
      <c r="AC47" s="114">
        <v>0.861339456425807</v>
      </c>
      <c r="AD47" s="114">
        <v>4816616.2513953736</v>
      </c>
      <c r="AE47" s="114">
        <v>0.86186197896223093</v>
      </c>
      <c r="AF47" s="382">
        <v>4.5499242744816142</v>
      </c>
      <c r="AG47" s="163">
        <v>1.8204786808839368E-2</v>
      </c>
      <c r="AH47" s="436">
        <v>4.5720191055065085</v>
      </c>
      <c r="AI47" s="434">
        <v>2.1736770944950731E-2</v>
      </c>
      <c r="AJ47" s="21">
        <v>0</v>
      </c>
      <c r="AL47" s="21">
        <v>0</v>
      </c>
    </row>
    <row r="48" spans="1:38" s="21" customFormat="1" x14ac:dyDescent="0.15">
      <c r="A48" s="113" t="s">
        <v>643</v>
      </c>
      <c r="B48" s="324">
        <v>20133.672193510756</v>
      </c>
      <c r="C48" s="114">
        <v>9.671056724894446E-2</v>
      </c>
      <c r="D48" s="114">
        <v>33858.879602506247</v>
      </c>
      <c r="E48" s="114">
        <v>0.1166707620192703</v>
      </c>
      <c r="F48" s="114">
        <v>18618.733810546662</v>
      </c>
      <c r="G48" s="114">
        <v>0.10560542028650051</v>
      </c>
      <c r="H48" s="114">
        <v>18618.733810546662</v>
      </c>
      <c r="I48" s="114">
        <v>0.10560542028650051</v>
      </c>
      <c r="J48" s="114">
        <v>74181.434139621546</v>
      </c>
      <c r="K48" s="114">
        <v>0.23439580259942622</v>
      </c>
      <c r="L48" s="114">
        <v>5091.5126015353944</v>
      </c>
      <c r="M48" s="114"/>
      <c r="N48" s="114">
        <v>2.1909004376544878</v>
      </c>
      <c r="O48" s="114">
        <v>2.1696785922110444</v>
      </c>
      <c r="P48" s="324">
        <v>5285.5492896851756</v>
      </c>
      <c r="Q48" s="114">
        <v>3.7838031655616127</v>
      </c>
      <c r="R48" s="114">
        <v>1124953.8992884255</v>
      </c>
      <c r="S48" s="114">
        <v>0.62603187318060682</v>
      </c>
      <c r="T48" s="114">
        <v>4628.1854017570477</v>
      </c>
      <c r="U48" s="114">
        <v>3.7863959673799981</v>
      </c>
      <c r="V48" s="114">
        <v>4984.9242875611644</v>
      </c>
      <c r="W48" s="114">
        <v>2.6147120210544044</v>
      </c>
      <c r="X48" s="114">
        <v>5041281.3725691857</v>
      </c>
      <c r="Y48" s="114">
        <v>0.63823106522708895</v>
      </c>
      <c r="Z48" s="114">
        <v>4243.2866570569613</v>
      </c>
      <c r="AA48" s="114">
        <v>5.3393903937966085</v>
      </c>
      <c r="AB48" s="114">
        <v>1086110.0953983578</v>
      </c>
      <c r="AC48" s="114">
        <v>0.64579442273471244</v>
      </c>
      <c r="AD48" s="114">
        <v>4962856.6517725065</v>
      </c>
      <c r="AE48" s="114">
        <v>0.64769387314875326</v>
      </c>
      <c r="AF48" s="382">
        <v>4.549482641282391</v>
      </c>
      <c r="AG48" s="163">
        <v>1.738631880377587E-2</v>
      </c>
      <c r="AH48" s="436">
        <v>4.5693596384368442</v>
      </c>
      <c r="AI48" s="434">
        <v>1.4634886925321128E-2</v>
      </c>
      <c r="AJ48" s="21">
        <v>0</v>
      </c>
      <c r="AL48" s="21">
        <v>0</v>
      </c>
    </row>
    <row r="49" spans="1:38" s="21" customFormat="1" x14ac:dyDescent="0.15">
      <c r="A49" s="113" t="s">
        <v>644</v>
      </c>
      <c r="B49" s="324">
        <v>20184.872685681559</v>
      </c>
      <c r="C49" s="114">
        <v>0.10247157846824961</v>
      </c>
      <c r="D49" s="114">
        <v>33446.809215907968</v>
      </c>
      <c r="E49" s="114">
        <v>5.9150846855029554E-2</v>
      </c>
      <c r="F49" s="114">
        <v>18776.626804107891</v>
      </c>
      <c r="G49" s="114">
        <v>0.10606699826943455</v>
      </c>
      <c r="H49" s="114">
        <v>18776.626804107891</v>
      </c>
      <c r="I49" s="114">
        <v>0.10606699826943455</v>
      </c>
      <c r="J49" s="114">
        <v>71822.627765578247</v>
      </c>
      <c r="K49" s="114">
        <v>4.4822725813724477E-2</v>
      </c>
      <c r="L49" s="114">
        <v>5169.0450154138643</v>
      </c>
      <c r="M49" s="114"/>
      <c r="N49" s="114">
        <v>2.1473685965660958</v>
      </c>
      <c r="O49" s="114">
        <v>2.1397437972747482</v>
      </c>
      <c r="P49" s="324">
        <v>5852.7612395369824</v>
      </c>
      <c r="Q49" s="114">
        <v>2.9096551821125973</v>
      </c>
      <c r="R49" s="114">
        <v>1132754.2815327719</v>
      </c>
      <c r="S49" s="114">
        <v>1.1021487223292921</v>
      </c>
      <c r="T49" s="114">
        <v>4527.4990668419623</v>
      </c>
      <c r="U49" s="114">
        <v>4.1902034874006482</v>
      </c>
      <c r="V49" s="114">
        <v>5246.6936553607202</v>
      </c>
      <c r="W49" s="114">
        <v>2.2557764800846321</v>
      </c>
      <c r="X49" s="114">
        <v>5079227.5448754309</v>
      </c>
      <c r="Y49" s="114">
        <v>1.1258391726817074</v>
      </c>
      <c r="Z49" s="114">
        <v>3677.0950215406415</v>
      </c>
      <c r="AA49" s="114">
        <v>7.2536058741695806</v>
      </c>
      <c r="AB49" s="114">
        <v>1094060.7786615037</v>
      </c>
      <c r="AC49" s="114">
        <v>1.1368810293686724</v>
      </c>
      <c r="AD49" s="114">
        <v>5003727.8220883133</v>
      </c>
      <c r="AE49" s="114">
        <v>1.141247752880354</v>
      </c>
      <c r="AF49" s="382">
        <v>4.5514306963650268</v>
      </c>
      <c r="AG49" s="163">
        <v>1.6755004309032047E-2</v>
      </c>
      <c r="AH49" s="436">
        <v>4.5733959531117439</v>
      </c>
      <c r="AI49" s="434">
        <v>1.7863555382766523E-2</v>
      </c>
      <c r="AJ49" s="21">
        <v>0</v>
      </c>
      <c r="AL49" s="21">
        <v>0</v>
      </c>
    </row>
    <row r="50" spans="1:38" s="21" customFormat="1" x14ac:dyDescent="0.15">
      <c r="A50" s="113" t="s">
        <v>645</v>
      </c>
      <c r="B50" s="324">
        <v>18792.2338350641</v>
      </c>
      <c r="C50" s="114">
        <v>0.12535017138444399</v>
      </c>
      <c r="D50" s="114">
        <v>31183.444200900602</v>
      </c>
      <c r="E50" s="114">
        <v>0.14123304214047952</v>
      </c>
      <c r="F50" s="114">
        <v>17661.557771281587</v>
      </c>
      <c r="G50" s="114">
        <v>0.11530888820830813</v>
      </c>
      <c r="H50" s="114">
        <v>17661.557771281587</v>
      </c>
      <c r="I50" s="114">
        <v>0.11530888820830813</v>
      </c>
      <c r="J50" s="114">
        <v>67045.574717448064</v>
      </c>
      <c r="K50" s="114">
        <v>0.26879524082057837</v>
      </c>
      <c r="L50" s="114">
        <v>4823.0438238874267</v>
      </c>
      <c r="M50" s="114"/>
      <c r="N50" s="114">
        <v>2.150037509824259</v>
      </c>
      <c r="O50" s="114">
        <v>2.1097111731929896</v>
      </c>
      <c r="P50" s="324">
        <v>5190.6500799865717</v>
      </c>
      <c r="Q50" s="114">
        <v>3.4551958809410572</v>
      </c>
      <c r="R50" s="114">
        <v>1059649.2106522548</v>
      </c>
      <c r="S50" s="114">
        <v>0.73682722886247953</v>
      </c>
      <c r="T50" s="114">
        <v>4344.9631091211158</v>
      </c>
      <c r="U50" s="114">
        <v>3.6325583823080643</v>
      </c>
      <c r="V50" s="114">
        <v>4803.9013521031866</v>
      </c>
      <c r="W50" s="114">
        <v>2.6220253284439927</v>
      </c>
      <c r="X50" s="114">
        <v>4746522.6564094825</v>
      </c>
      <c r="Y50" s="114">
        <v>0.75234212193575245</v>
      </c>
      <c r="Z50" s="114">
        <v>3671.9349621616302</v>
      </c>
      <c r="AA50" s="114">
        <v>7.3126486333545992</v>
      </c>
      <c r="AB50" s="114">
        <v>1023661.8650992509</v>
      </c>
      <c r="AC50" s="114">
        <v>0.75996670356845231</v>
      </c>
      <c r="AD50" s="114">
        <v>4675805.1467298735</v>
      </c>
      <c r="AE50" s="114">
        <v>0.76566720197808968</v>
      </c>
      <c r="AF50" s="382">
        <v>4.546683461533684</v>
      </c>
      <c r="AG50" s="163">
        <v>2.1400288690297475E-2</v>
      </c>
      <c r="AH50" s="436">
        <v>4.5675888258083779</v>
      </c>
      <c r="AI50" s="434">
        <v>2.285472065480074E-2</v>
      </c>
      <c r="AJ50" s="21">
        <v>0</v>
      </c>
      <c r="AL50" s="21">
        <v>0</v>
      </c>
    </row>
    <row r="51" spans="1:38" s="21" customFormat="1" x14ac:dyDescent="0.15">
      <c r="A51" s="113" t="s">
        <v>646</v>
      </c>
      <c r="B51" s="324">
        <v>18679.269614352736</v>
      </c>
      <c r="C51" s="114">
        <v>0.11099930169631694</v>
      </c>
      <c r="D51" s="114">
        <v>30765.552386479925</v>
      </c>
      <c r="E51" s="114">
        <v>7.338257149106496E-2</v>
      </c>
      <c r="F51" s="114">
        <v>17605.90285814667</v>
      </c>
      <c r="G51" s="114">
        <v>0.102674594167194</v>
      </c>
      <c r="H51" s="114">
        <v>17605.90285814667</v>
      </c>
      <c r="I51" s="114">
        <v>0.102674594167194</v>
      </c>
      <c r="J51" s="114">
        <v>65079.733412298257</v>
      </c>
      <c r="K51" s="114">
        <v>4.505666402757335E-2</v>
      </c>
      <c r="L51" s="114">
        <v>4616.844265241265</v>
      </c>
      <c r="M51" s="114"/>
      <c r="N51" s="114">
        <v>2.1153442198846353</v>
      </c>
      <c r="O51" s="114">
        <v>2.0599223175342147</v>
      </c>
      <c r="P51" s="324">
        <v>5159.7740537115933</v>
      </c>
      <c r="Q51" s="114">
        <v>3.4903524381698023</v>
      </c>
      <c r="R51" s="114">
        <v>1144553.0706906402</v>
      </c>
      <c r="S51" s="114">
        <v>0.97617067936421209</v>
      </c>
      <c r="T51" s="114">
        <v>4297.1947745110037</v>
      </c>
      <c r="U51" s="114">
        <v>3.2563527000664387</v>
      </c>
      <c r="V51" s="114">
        <v>4765.3001521118158</v>
      </c>
      <c r="W51" s="114">
        <v>2.4107594008302065</v>
      </c>
      <c r="X51" s="114">
        <v>5135008.6046057055</v>
      </c>
      <c r="Y51" s="114">
        <v>0.99467075074215638</v>
      </c>
      <c r="Z51" s="114">
        <v>3414.7183925644554</v>
      </c>
      <c r="AA51" s="114">
        <v>6.5204447935395491</v>
      </c>
      <c r="AB51" s="114">
        <v>1109022.2181520485</v>
      </c>
      <c r="AC51" s="114">
        <v>1.0052648192936902</v>
      </c>
      <c r="AD51" s="114">
        <v>5066514.1528008459</v>
      </c>
      <c r="AE51" s="114">
        <v>1.0083702462757618</v>
      </c>
      <c r="AF51" s="382">
        <v>4.5483061015646857</v>
      </c>
      <c r="AG51" s="163">
        <v>1.755035699069598E-2</v>
      </c>
      <c r="AH51" s="436">
        <v>4.5683435757309079</v>
      </c>
      <c r="AI51" s="434">
        <v>2.0929433178283042E-2</v>
      </c>
      <c r="AJ51" s="21">
        <v>0</v>
      </c>
      <c r="AL51" s="21">
        <v>0</v>
      </c>
    </row>
    <row r="52" spans="1:38" s="21" customFormat="1" x14ac:dyDescent="0.15">
      <c r="A52" s="113"/>
      <c r="B52" s="324"/>
      <c r="C52" s="114"/>
      <c r="D52" s="114"/>
      <c r="E52" s="114"/>
      <c r="F52" s="114"/>
      <c r="G52" s="114"/>
      <c r="H52" s="114"/>
      <c r="I52" s="114"/>
      <c r="J52" s="114"/>
      <c r="K52" s="114"/>
      <c r="L52" s="114"/>
      <c r="M52" s="114"/>
      <c r="N52" s="114"/>
      <c r="O52" s="114"/>
      <c r="P52" s="324"/>
      <c r="Q52" s="114"/>
      <c r="R52" s="114"/>
      <c r="S52" s="114"/>
      <c r="T52" s="114"/>
      <c r="U52" s="114"/>
      <c r="V52" s="114"/>
      <c r="W52" s="114"/>
      <c r="X52" s="114"/>
      <c r="Y52" s="114"/>
      <c r="Z52" s="114"/>
      <c r="AA52" s="114"/>
      <c r="AB52" s="114"/>
      <c r="AC52" s="114"/>
      <c r="AD52" s="114"/>
      <c r="AE52" s="114"/>
      <c r="AF52" s="382"/>
      <c r="AG52" s="163"/>
      <c r="AH52" s="436"/>
      <c r="AI52" s="434"/>
    </row>
    <row r="53" spans="1:38" s="21" customFormat="1" x14ac:dyDescent="0.15">
      <c r="A53" s="113"/>
      <c r="B53" s="324"/>
      <c r="C53" s="114"/>
      <c r="D53" s="114"/>
      <c r="E53" s="114"/>
      <c r="F53" s="114"/>
      <c r="G53" s="114"/>
      <c r="H53" s="114"/>
      <c r="I53" s="114"/>
      <c r="J53" s="114"/>
      <c r="K53" s="114"/>
      <c r="L53" s="114"/>
      <c r="M53" s="114"/>
      <c r="N53" s="114"/>
      <c r="O53" s="114"/>
      <c r="P53" s="324"/>
      <c r="Q53" s="114"/>
      <c r="R53" s="114"/>
      <c r="S53" s="114"/>
      <c r="T53" s="114"/>
      <c r="U53" s="114"/>
      <c r="V53" s="114"/>
      <c r="W53" s="114"/>
      <c r="X53" s="114"/>
      <c r="Y53" s="114"/>
      <c r="Z53" s="114"/>
      <c r="AA53" s="114"/>
      <c r="AB53" s="114"/>
      <c r="AC53" s="114"/>
      <c r="AD53" s="114"/>
      <c r="AE53" s="114"/>
      <c r="AF53" s="382"/>
      <c r="AG53" s="163"/>
      <c r="AH53" s="436"/>
      <c r="AI53" s="434"/>
    </row>
    <row r="54" spans="1:38" s="22" customFormat="1" x14ac:dyDescent="0.15">
      <c r="A54" s="113" t="s">
        <v>647</v>
      </c>
      <c r="B54" s="324">
        <v>23743.01500722066</v>
      </c>
      <c r="C54" s="114">
        <v>9.1160289650641449E-2</v>
      </c>
      <c r="D54" s="114">
        <v>39535.37444568082</v>
      </c>
      <c r="E54" s="114">
        <v>5.5163383764099329E-2</v>
      </c>
      <c r="F54" s="114">
        <v>21404.50771345626</v>
      </c>
      <c r="G54" s="114">
        <v>8.7373256266134333E-2</v>
      </c>
      <c r="H54" s="114">
        <v>21404.50771345626</v>
      </c>
      <c r="I54" s="114">
        <v>8.7373256266134333E-2</v>
      </c>
      <c r="J54" s="114">
        <v>86813.691802142508</v>
      </c>
      <c r="K54" s="114">
        <v>6.6638108644653915E-2</v>
      </c>
      <c r="L54" s="114">
        <v>6494.8061498384959</v>
      </c>
      <c r="M54" s="114"/>
      <c r="N54" s="114">
        <v>2.1958484779603946</v>
      </c>
      <c r="O54" s="114">
        <v>2.2306571574862879</v>
      </c>
      <c r="P54" s="324">
        <v>7328.0979771507973</v>
      </c>
      <c r="Q54" s="114">
        <v>2.4113798709309693</v>
      </c>
      <c r="R54" s="114">
        <v>533901.78941429616</v>
      </c>
      <c r="S54" s="114">
        <v>0.20761336960924029</v>
      </c>
      <c r="T54" s="114">
        <v>5574.4089428424304</v>
      </c>
      <c r="U54" s="114">
        <v>3.3691057149225911</v>
      </c>
      <c r="V54" s="114">
        <v>6526.1026449681231</v>
      </c>
      <c r="W54" s="114">
        <v>1.9598846413772706</v>
      </c>
      <c r="X54" s="114">
        <v>2325894.7431099573</v>
      </c>
      <c r="Y54" s="114">
        <v>0.21334995556908315</v>
      </c>
      <c r="Z54" s="114">
        <v>4103.6520323659897</v>
      </c>
      <c r="AA54" s="114">
        <v>5.7465631357310105</v>
      </c>
      <c r="AB54" s="114">
        <v>487840.31232364732</v>
      </c>
      <c r="AC54" s="114">
        <v>0.22571586750597189</v>
      </c>
      <c r="AD54" s="114">
        <v>2234977.3992754491</v>
      </c>
      <c r="AE54" s="114">
        <v>0.22119231274085924</v>
      </c>
      <c r="AF54" s="382">
        <v>4.5189492555663309</v>
      </c>
      <c r="AG54" s="163">
        <v>3.5746353917983004E-2</v>
      </c>
      <c r="AH54" s="436">
        <v>4.5814403506402304</v>
      </c>
      <c r="AI54" s="434">
        <v>3.9181823613551832E-2</v>
      </c>
      <c r="AJ54" s="22">
        <v>0</v>
      </c>
      <c r="AL54" s="22">
        <v>0</v>
      </c>
    </row>
    <row r="55" spans="1:38" s="22" customFormat="1" x14ac:dyDescent="0.15">
      <c r="A55" s="113" t="s">
        <v>648</v>
      </c>
      <c r="B55" s="324">
        <v>23296.136342296697</v>
      </c>
      <c r="C55" s="114">
        <v>8.6367217687543782E-2</v>
      </c>
      <c r="D55" s="114">
        <v>39056.071472407377</v>
      </c>
      <c r="E55" s="114">
        <v>6.6201548002732841E-2</v>
      </c>
      <c r="F55" s="114">
        <v>21098.55324724298</v>
      </c>
      <c r="G55" s="114">
        <v>9.168618242153781E-2</v>
      </c>
      <c r="H55" s="114">
        <v>21098.55324724298</v>
      </c>
      <c r="I55" s="114">
        <v>9.168618242153781E-2</v>
      </c>
      <c r="J55" s="114">
        <v>85252.448690435383</v>
      </c>
      <c r="K55" s="114">
        <v>8.3948112565176508E-2</v>
      </c>
      <c r="L55" s="114">
        <v>6725.1762480518546</v>
      </c>
      <c r="M55" s="114"/>
      <c r="N55" s="114">
        <v>2.1828219141463103</v>
      </c>
      <c r="O55" s="114">
        <v>2.2514874867888945</v>
      </c>
      <c r="P55" s="324">
        <v>7460.0471012440948</v>
      </c>
      <c r="Q55" s="114">
        <v>2.2769985126559109</v>
      </c>
      <c r="R55" s="114">
        <v>535193.08630337426</v>
      </c>
      <c r="S55" s="114">
        <v>0.20226236980479168</v>
      </c>
      <c r="T55" s="114">
        <v>5784.4750414206173</v>
      </c>
      <c r="U55" s="114">
        <v>2.8721821914504915</v>
      </c>
      <c r="V55" s="114">
        <v>6693.776146459848</v>
      </c>
      <c r="W55" s="114">
        <v>1.8815918656380155</v>
      </c>
      <c r="X55" s="114">
        <v>2330404.393110624</v>
      </c>
      <c r="Y55" s="114">
        <v>0.20146364492896252</v>
      </c>
      <c r="Z55" s="114">
        <v>4825.6076732210731</v>
      </c>
      <c r="AA55" s="114">
        <v>4.8120007426849494</v>
      </c>
      <c r="AB55" s="114">
        <v>489443.23868450709</v>
      </c>
      <c r="AC55" s="114">
        <v>0.21421531871835017</v>
      </c>
      <c r="AD55" s="114">
        <v>2240326.3367469679</v>
      </c>
      <c r="AE55" s="114">
        <v>0.20873814218212633</v>
      </c>
      <c r="AF55" s="382">
        <v>4.5137035710183238</v>
      </c>
      <c r="AG55" s="163">
        <v>2.860757552557646E-2</v>
      </c>
      <c r="AH55" s="436">
        <v>4.5773608254442264</v>
      </c>
      <c r="AI55" s="434">
        <v>3.6369811301962374E-2</v>
      </c>
      <c r="AJ55" s="22">
        <v>0</v>
      </c>
      <c r="AL55" s="22">
        <v>0</v>
      </c>
    </row>
    <row r="56" spans="1:38" s="22" customFormat="1" x14ac:dyDescent="0.15">
      <c r="A56" s="113" t="s">
        <v>649</v>
      </c>
      <c r="B56" s="324">
        <v>23170.548682439217</v>
      </c>
      <c r="C56" s="114">
        <v>9.8578066483625354E-2</v>
      </c>
      <c r="D56" s="114">
        <v>38336.146839350564</v>
      </c>
      <c r="E56" s="114">
        <v>6.40105682358552E-2</v>
      </c>
      <c r="F56" s="114">
        <v>21282.57220033928</v>
      </c>
      <c r="G56" s="114">
        <v>9.2043416062266889E-2</v>
      </c>
      <c r="H56" s="114">
        <v>21282.57220033928</v>
      </c>
      <c r="I56" s="114">
        <v>9.2043416062266889E-2</v>
      </c>
      <c r="J56" s="114">
        <v>82183.753449079188</v>
      </c>
      <c r="K56" s="114">
        <v>9.8503722468971086E-2</v>
      </c>
      <c r="L56" s="114">
        <v>5749.8396858943661</v>
      </c>
      <c r="M56" s="114"/>
      <c r="N56" s="114">
        <v>2.1437666595308622</v>
      </c>
      <c r="O56" s="114">
        <v>2.1503597207570291</v>
      </c>
      <c r="P56" s="324">
        <v>6535.8718477373814</v>
      </c>
      <c r="Q56" s="114">
        <v>2.8108679806399204</v>
      </c>
      <c r="R56" s="114">
        <v>527745.88903922448</v>
      </c>
      <c r="S56" s="114">
        <v>0.25184911402713123</v>
      </c>
      <c r="T56" s="114">
        <v>4845.1583213515414</v>
      </c>
      <c r="U56" s="114">
        <v>3.0334700033385271</v>
      </c>
      <c r="V56" s="114">
        <v>5762.6764124620995</v>
      </c>
      <c r="W56" s="114">
        <v>2.0299551075369227</v>
      </c>
      <c r="X56" s="114">
        <v>2303233.8641370032</v>
      </c>
      <c r="Y56" s="114">
        <v>0.25775592098012012</v>
      </c>
      <c r="Z56" s="114">
        <v>4151.1562462989741</v>
      </c>
      <c r="AA56" s="114">
        <v>6.128101501206185</v>
      </c>
      <c r="AB56" s="114">
        <v>483647.06578741217</v>
      </c>
      <c r="AC56" s="114">
        <v>0.26800086505844045</v>
      </c>
      <c r="AD56" s="114">
        <v>2216898.9544416261</v>
      </c>
      <c r="AE56" s="114">
        <v>0.26946139749694625</v>
      </c>
      <c r="AF56" s="382">
        <v>4.531051373392172</v>
      </c>
      <c r="AG56" s="163">
        <v>3.602902360627553E-2</v>
      </c>
      <c r="AH56" s="436">
        <v>4.5837314277957653</v>
      </c>
      <c r="AI56" s="434">
        <v>4.0838243913297295E-2</v>
      </c>
      <c r="AJ56" s="22">
        <v>0</v>
      </c>
      <c r="AL56" s="22">
        <v>0</v>
      </c>
    </row>
    <row r="57" spans="1:38" s="22" customFormat="1" x14ac:dyDescent="0.15">
      <c r="A57" s="113" t="s">
        <v>650</v>
      </c>
      <c r="B57" s="324">
        <v>22869.821689745924</v>
      </c>
      <c r="C57" s="114">
        <v>0.10376871487465884</v>
      </c>
      <c r="D57" s="114">
        <v>37811.486343352888</v>
      </c>
      <c r="E57" s="114">
        <v>6.0037630744601216E-2</v>
      </c>
      <c r="F57" s="114">
        <v>20983.215886111706</v>
      </c>
      <c r="G57" s="114">
        <v>8.3902296108683952E-2</v>
      </c>
      <c r="H57" s="114">
        <v>20983.215886111706</v>
      </c>
      <c r="I57" s="114">
        <v>8.3902296108683952E-2</v>
      </c>
      <c r="J57" s="114">
        <v>80754.801384559891</v>
      </c>
      <c r="K57" s="114">
        <v>9.1485871091621762E-2</v>
      </c>
      <c r="L57" s="114">
        <v>5989.8537985917274</v>
      </c>
      <c r="M57" s="114"/>
      <c r="N57" s="114">
        <v>2.1357214220899379</v>
      </c>
      <c r="O57" s="114">
        <v>2.1289140239993056</v>
      </c>
      <c r="P57" s="324">
        <v>6661.6416515019209</v>
      </c>
      <c r="Q57" s="114">
        <v>2.3739469040712691</v>
      </c>
      <c r="R57" s="114">
        <v>513288.61180782045</v>
      </c>
      <c r="S57" s="114">
        <v>0.1727414472131763</v>
      </c>
      <c r="T57" s="114">
        <v>5075.4653913606435</v>
      </c>
      <c r="U57" s="114">
        <v>3.3922556327668887</v>
      </c>
      <c r="V57" s="114">
        <v>5936.2530952839288</v>
      </c>
      <c r="W57" s="114">
        <v>1.990393427172729</v>
      </c>
      <c r="X57" s="114">
        <v>2235359.8680272279</v>
      </c>
      <c r="Y57" s="114">
        <v>0.17796995279952171</v>
      </c>
      <c r="Z57" s="114">
        <v>5260.9848423682715</v>
      </c>
      <c r="AA57" s="114">
        <v>4.3983278133756682</v>
      </c>
      <c r="AB57" s="114">
        <v>469540.87236918358</v>
      </c>
      <c r="AC57" s="114">
        <v>0.18405185047981629</v>
      </c>
      <c r="AD57" s="114">
        <v>2149344.0818002983</v>
      </c>
      <c r="AE57" s="114">
        <v>0.18482041433479082</v>
      </c>
      <c r="AF57" s="382">
        <v>4.5230033546133059</v>
      </c>
      <c r="AG57" s="163">
        <v>3.4312957534636417E-2</v>
      </c>
      <c r="AH57" s="436">
        <v>4.5775674310895749</v>
      </c>
      <c r="AI57" s="434">
        <v>3.8716391279331221E-2</v>
      </c>
      <c r="AJ57" s="22">
        <v>0</v>
      </c>
      <c r="AL57" s="22">
        <v>0</v>
      </c>
    </row>
    <row r="58" spans="1:38" s="22" customFormat="1" x14ac:dyDescent="0.15">
      <c r="A58" s="113" t="s">
        <v>651</v>
      </c>
      <c r="B58" s="324">
        <v>21495.966047017897</v>
      </c>
      <c r="C58" s="114">
        <v>0.10369564304825635</v>
      </c>
      <c r="D58" s="114">
        <v>35757.805708326414</v>
      </c>
      <c r="E58" s="114">
        <v>5.4870055900310639E-2</v>
      </c>
      <c r="F58" s="114">
        <v>19976.630416944507</v>
      </c>
      <c r="G58" s="114">
        <v>9.261376051714329E-2</v>
      </c>
      <c r="H58" s="114">
        <v>19976.630416944507</v>
      </c>
      <c r="I58" s="114">
        <v>9.261376051714329E-2</v>
      </c>
      <c r="J58" s="114">
        <v>76727.220410941081</v>
      </c>
      <c r="K58" s="114">
        <v>9.9301315982814789E-2</v>
      </c>
      <c r="L58" s="114">
        <v>6033.7563887366341</v>
      </c>
      <c r="M58" s="114"/>
      <c r="N58" s="114">
        <v>2.1457474498518989</v>
      </c>
      <c r="O58" s="114">
        <v>2.1714094921897913</v>
      </c>
      <c r="P58" s="324">
        <v>7105.9978400351201</v>
      </c>
      <c r="Q58" s="114">
        <v>2.8054247231970129</v>
      </c>
      <c r="R58" s="114">
        <v>489234.78822982789</v>
      </c>
      <c r="S58" s="114">
        <v>0.19060207868529777</v>
      </c>
      <c r="T58" s="114">
        <v>5097.0781667598849</v>
      </c>
      <c r="U58" s="114">
        <v>3.7362915102053949</v>
      </c>
      <c r="V58" s="114">
        <v>6187.2806848399905</v>
      </c>
      <c r="W58" s="114">
        <v>2.0797811465456308</v>
      </c>
      <c r="X58" s="114">
        <v>2131059.9167623674</v>
      </c>
      <c r="Y58" s="114">
        <v>0.20107084054338162</v>
      </c>
      <c r="Z58" s="114">
        <v>4336.0783970025968</v>
      </c>
      <c r="AA58" s="114">
        <v>4.8756582086564064</v>
      </c>
      <c r="AB58" s="114">
        <v>447289.70183666132</v>
      </c>
      <c r="AC58" s="114">
        <v>0.20818841579005101</v>
      </c>
      <c r="AD58" s="114">
        <v>2049996.617954423</v>
      </c>
      <c r="AE58" s="114">
        <v>0.20847797932672063</v>
      </c>
      <c r="AF58" s="382">
        <v>4.5190646849096625</v>
      </c>
      <c r="AG58" s="163">
        <v>3.9227634358016197E-2</v>
      </c>
      <c r="AH58" s="436">
        <v>4.5831804482306424</v>
      </c>
      <c r="AI58" s="434">
        <v>4.1840888681833208E-2</v>
      </c>
      <c r="AJ58" s="22">
        <v>0</v>
      </c>
      <c r="AL58" s="22">
        <v>0</v>
      </c>
    </row>
    <row r="59" spans="1:38" s="22" customFormat="1" x14ac:dyDescent="0.15">
      <c r="A59" s="113" t="s">
        <v>652</v>
      </c>
      <c r="B59" s="324">
        <v>21811.342893843706</v>
      </c>
      <c r="C59" s="114">
        <v>0.11114598804183355</v>
      </c>
      <c r="D59" s="114">
        <v>35671.393453090081</v>
      </c>
      <c r="E59" s="114">
        <v>6.7728644612804575E-2</v>
      </c>
      <c r="F59" s="114">
        <v>19966.109072222695</v>
      </c>
      <c r="G59" s="114">
        <v>9.8235367208351604E-2</v>
      </c>
      <c r="H59" s="114">
        <v>19966.109072222695</v>
      </c>
      <c r="I59" s="114">
        <v>9.8235367208351604E-2</v>
      </c>
      <c r="J59" s="114">
        <v>76123.167071915639</v>
      </c>
      <c r="K59" s="114">
        <v>7.5008938087362212E-2</v>
      </c>
      <c r="L59" s="114">
        <v>5592.755720408054</v>
      </c>
      <c r="M59" s="114"/>
      <c r="N59" s="114">
        <v>2.1340115903243855</v>
      </c>
      <c r="O59" s="114">
        <v>2.1244670003494299</v>
      </c>
      <c r="P59" s="324">
        <v>6206.2467711242989</v>
      </c>
      <c r="Q59" s="114">
        <v>2.8871430567019085</v>
      </c>
      <c r="R59" s="114">
        <v>490299.51699196344</v>
      </c>
      <c r="S59" s="114">
        <v>0.18405106394294296</v>
      </c>
      <c r="T59" s="114">
        <v>4942.6624627711981</v>
      </c>
      <c r="U59" s="114">
        <v>2.8543601782346446</v>
      </c>
      <c r="V59" s="114">
        <v>5628.3856467784271</v>
      </c>
      <c r="W59" s="114">
        <v>2.0177887351455084</v>
      </c>
      <c r="X59" s="114">
        <v>2134983.934217535</v>
      </c>
      <c r="Y59" s="114">
        <v>0.18417657768168333</v>
      </c>
      <c r="Z59" s="114">
        <v>3435.5738248209186</v>
      </c>
      <c r="AA59" s="114">
        <v>7.0089345732616728</v>
      </c>
      <c r="AB59" s="114">
        <v>448999.73789209465</v>
      </c>
      <c r="AC59" s="114">
        <v>0.19799698993587062</v>
      </c>
      <c r="AD59" s="114">
        <v>2055425.1933207987</v>
      </c>
      <c r="AE59" s="114">
        <v>0.19217108744364994</v>
      </c>
      <c r="AF59" s="382">
        <v>4.5230654102905836</v>
      </c>
      <c r="AG59" s="163">
        <v>3.2921599437556924E-2</v>
      </c>
      <c r="AH59" s="436">
        <v>4.5778747379576865</v>
      </c>
      <c r="AI59" s="434">
        <v>4.7028232665620173E-2</v>
      </c>
      <c r="AJ59" s="22">
        <v>0</v>
      </c>
      <c r="AL59" s="22">
        <v>0</v>
      </c>
    </row>
    <row r="60" spans="1:38" s="22" customFormat="1" x14ac:dyDescent="0.15">
      <c r="A60" s="113" t="s">
        <v>653</v>
      </c>
      <c r="B60" s="324">
        <v>20940.201157764488</v>
      </c>
      <c r="C60" s="114">
        <v>0.1040809858210454</v>
      </c>
      <c r="D60" s="114">
        <v>34723.838492465249</v>
      </c>
      <c r="E60" s="114">
        <v>6.6871074296971492E-2</v>
      </c>
      <c r="F60" s="114">
        <v>19405.515767349025</v>
      </c>
      <c r="G60" s="114">
        <v>0.12361233196019723</v>
      </c>
      <c r="H60" s="114">
        <v>19405.515767349025</v>
      </c>
      <c r="I60" s="114">
        <v>0.12361233196019723</v>
      </c>
      <c r="J60" s="114">
        <v>73847.615768840551</v>
      </c>
      <c r="K60" s="114">
        <v>6.8660830717426707E-2</v>
      </c>
      <c r="L60" s="114">
        <v>5430.0352850231857</v>
      </c>
      <c r="M60" s="114"/>
      <c r="N60" s="114">
        <v>2.1267123386967945</v>
      </c>
      <c r="O60" s="114">
        <v>2.0928395278350487</v>
      </c>
      <c r="P60" s="324">
        <v>6176.4937575975509</v>
      </c>
      <c r="Q60" s="114">
        <v>2.8100673983510709</v>
      </c>
      <c r="R60" s="114">
        <v>473989.29442390631</v>
      </c>
      <c r="S60" s="114">
        <v>0.18315659263209205</v>
      </c>
      <c r="T60" s="114">
        <v>4690.6373200899579</v>
      </c>
      <c r="U60" s="114">
        <v>3.5562283258690091</v>
      </c>
      <c r="V60" s="114">
        <v>5496.9833633019998</v>
      </c>
      <c r="W60" s="114">
        <v>1.9920765972896861</v>
      </c>
      <c r="X60" s="114">
        <v>2064182.8026518028</v>
      </c>
      <c r="Y60" s="114">
        <v>0.17795011411588549</v>
      </c>
      <c r="Z60" s="114">
        <v>4351.6965550208779</v>
      </c>
      <c r="AA60" s="114">
        <v>5.1744554197054349</v>
      </c>
      <c r="AB60" s="114">
        <v>433768.47256813879</v>
      </c>
      <c r="AC60" s="114">
        <v>0.19759559131296409</v>
      </c>
      <c r="AD60" s="114">
        <v>1985983.4903279413</v>
      </c>
      <c r="AE60" s="114">
        <v>0.18492882601667163</v>
      </c>
      <c r="AF60" s="382">
        <v>4.5202745684797518</v>
      </c>
      <c r="AG60" s="163">
        <v>3.2936329295438466E-2</v>
      </c>
      <c r="AH60" s="436">
        <v>4.5785589119397923</v>
      </c>
      <c r="AI60" s="434">
        <v>3.7048392871755938E-2</v>
      </c>
      <c r="AJ60" s="22">
        <v>0</v>
      </c>
      <c r="AL60" s="22">
        <v>0</v>
      </c>
    </row>
    <row r="61" spans="1:38" s="22" customFormat="1" x14ac:dyDescent="0.15">
      <c r="A61" s="113" t="s">
        <v>654</v>
      </c>
      <c r="B61" s="324">
        <v>20883.787284355767</v>
      </c>
      <c r="C61" s="114">
        <v>9.0599147639701477E-2</v>
      </c>
      <c r="D61" s="114">
        <v>34213.13637139499</v>
      </c>
      <c r="E61" s="114">
        <v>5.8423330833967828E-2</v>
      </c>
      <c r="F61" s="114">
        <v>19348.542454260052</v>
      </c>
      <c r="G61" s="114">
        <v>0.10413833759941447</v>
      </c>
      <c r="H61" s="114">
        <v>19348.542454260052</v>
      </c>
      <c r="I61" s="114">
        <v>0.10413833759941447</v>
      </c>
      <c r="J61" s="114">
        <v>72807.795606579835</v>
      </c>
      <c r="K61" s="114">
        <v>6.86238491113106E-2</v>
      </c>
      <c r="L61" s="114">
        <v>5305.1167880354678</v>
      </c>
      <c r="M61" s="114"/>
      <c r="N61" s="114">
        <v>2.1280655130890942</v>
      </c>
      <c r="O61" s="114">
        <v>2.1237655534578335</v>
      </c>
      <c r="P61" s="324">
        <v>6028.4599833104357</v>
      </c>
      <c r="Q61" s="114">
        <v>3.0775182446357232</v>
      </c>
      <c r="R61" s="114">
        <v>488876.59544599132</v>
      </c>
      <c r="S61" s="114">
        <v>0.18478552403301687</v>
      </c>
      <c r="T61" s="114">
        <v>4544.914341409517</v>
      </c>
      <c r="U61" s="114">
        <v>4.0675014640545424</v>
      </c>
      <c r="V61" s="114">
        <v>5350.0063597729395</v>
      </c>
      <c r="W61" s="114">
        <v>2.4142486991200363</v>
      </c>
      <c r="X61" s="114">
        <v>2131552.2202850184</v>
      </c>
      <c r="Y61" s="114">
        <v>0.18825873550317868</v>
      </c>
      <c r="Z61" s="114">
        <v>4022.370487439608</v>
      </c>
      <c r="AA61" s="114">
        <v>6.4159655478291064</v>
      </c>
      <c r="AB61" s="114">
        <v>449313.45271482359</v>
      </c>
      <c r="AC61" s="114">
        <v>0.19607116222746837</v>
      </c>
      <c r="AD61" s="114">
        <v>2054722.0541909984</v>
      </c>
      <c r="AE61" s="114">
        <v>0.19303236239586638</v>
      </c>
      <c r="AF61" s="382">
        <v>4.5187319230510363</v>
      </c>
      <c r="AG61" s="163">
        <v>3.562387372334986E-2</v>
      </c>
      <c r="AH61" s="436">
        <v>4.5730569335122908</v>
      </c>
      <c r="AI61" s="434">
        <v>2.7806085495675429E-2</v>
      </c>
      <c r="AJ61" s="22">
        <v>0</v>
      </c>
      <c r="AL61" s="22">
        <v>0</v>
      </c>
    </row>
    <row r="62" spans="1:38" s="22" customFormat="1" x14ac:dyDescent="0.15">
      <c r="A62" s="113" t="s">
        <v>655</v>
      </c>
      <c r="B62" s="324">
        <v>20178.396169396117</v>
      </c>
      <c r="C62" s="114">
        <v>0.11106713717995816</v>
      </c>
      <c r="D62" s="114">
        <v>33322.715772430536</v>
      </c>
      <c r="E62" s="114">
        <v>6.5546187880549153E-2</v>
      </c>
      <c r="F62" s="114">
        <v>18585.236386525019</v>
      </c>
      <c r="G62" s="114">
        <v>0.10704964465665959</v>
      </c>
      <c r="H62" s="114">
        <v>18585.236386525019</v>
      </c>
      <c r="I62" s="114">
        <v>0.10704964465665959</v>
      </c>
      <c r="J62" s="114">
        <v>71007.258415518372</v>
      </c>
      <c r="K62" s="114">
        <v>0.10030149533568714</v>
      </c>
      <c r="L62" s="114">
        <v>5268.8298193141809</v>
      </c>
      <c r="M62" s="114"/>
      <c r="N62" s="114">
        <v>2.1308965001665934</v>
      </c>
      <c r="O62" s="114">
        <v>2.1214065659898704</v>
      </c>
      <c r="P62" s="324">
        <v>5843.3883471602821</v>
      </c>
      <c r="Q62" s="114">
        <v>2.715223611561167</v>
      </c>
      <c r="R62" s="114">
        <v>451681.57550042192</v>
      </c>
      <c r="S62" s="114">
        <v>0.20822829550133892</v>
      </c>
      <c r="T62" s="114">
        <v>4658.9595540069249</v>
      </c>
      <c r="U62" s="114">
        <v>3.764894184068813</v>
      </c>
      <c r="V62" s="114">
        <v>5301.7265446239044</v>
      </c>
      <c r="W62" s="114">
        <v>2.2005697352218374</v>
      </c>
      <c r="X62" s="114">
        <v>1964706.8061952081</v>
      </c>
      <c r="Y62" s="114">
        <v>0.21529989426627108</v>
      </c>
      <c r="Z62" s="114">
        <v>4108.6779944233576</v>
      </c>
      <c r="AA62" s="114">
        <v>5.8701082624852452</v>
      </c>
      <c r="AB62" s="114">
        <v>413057.13318336761</v>
      </c>
      <c r="AC62" s="114">
        <v>0.2275151144635921</v>
      </c>
      <c r="AD62" s="114">
        <v>1889590.8697852651</v>
      </c>
      <c r="AE62" s="114">
        <v>0.22447526001588797</v>
      </c>
      <c r="AF62" s="382">
        <v>4.516526222201275</v>
      </c>
      <c r="AG62" s="163">
        <v>4.0909200414504091E-2</v>
      </c>
      <c r="AH62" s="436">
        <v>4.5747330516043982</v>
      </c>
      <c r="AI62" s="434">
        <v>5.3179788756266611E-2</v>
      </c>
      <c r="AJ62" s="22">
        <v>0</v>
      </c>
      <c r="AL62" s="22">
        <v>0</v>
      </c>
    </row>
    <row r="63" spans="1:38" s="22" customFormat="1" x14ac:dyDescent="0.15">
      <c r="A63" s="113" t="s">
        <v>656</v>
      </c>
      <c r="B63" s="324">
        <v>19542.053069747089</v>
      </c>
      <c r="C63" s="114">
        <v>0.12537215296441442</v>
      </c>
      <c r="D63" s="114">
        <v>32767.756134928226</v>
      </c>
      <c r="E63" s="114">
        <v>7.8936186772915362E-2</v>
      </c>
      <c r="F63" s="114">
        <v>18426.708290003906</v>
      </c>
      <c r="G63" s="114">
        <v>0.10649599955014945</v>
      </c>
      <c r="H63" s="114">
        <v>18426.708290003906</v>
      </c>
      <c r="I63" s="114">
        <v>0.10649599955014945</v>
      </c>
      <c r="J63" s="114">
        <v>69958.702188484298</v>
      </c>
      <c r="K63" s="114">
        <v>0.12559772374470682</v>
      </c>
      <c r="L63" s="114">
        <v>5214.6978008752085</v>
      </c>
      <c r="M63" s="114"/>
      <c r="N63" s="114">
        <v>2.1349860484927445</v>
      </c>
      <c r="O63" s="114">
        <v>2.1334180143217125</v>
      </c>
      <c r="P63" s="324">
        <v>5871.304942120184</v>
      </c>
      <c r="Q63" s="114">
        <v>2.9636412979548008</v>
      </c>
      <c r="R63" s="114">
        <v>438460.54515703005</v>
      </c>
      <c r="S63" s="114">
        <v>0.20607465544063008</v>
      </c>
      <c r="T63" s="114">
        <v>4513.241065736609</v>
      </c>
      <c r="U63" s="114">
        <v>4.0801267188331813</v>
      </c>
      <c r="V63" s="114">
        <v>5250.2365153023784</v>
      </c>
      <c r="W63" s="114">
        <v>2.5380825360971291</v>
      </c>
      <c r="X63" s="114">
        <v>1904278.471259743</v>
      </c>
      <c r="Y63" s="114">
        <v>0.2000602372953581</v>
      </c>
      <c r="Z63" s="114">
        <v>3972.4368547124632</v>
      </c>
      <c r="AA63" s="114">
        <v>5.7759238137322981</v>
      </c>
      <c r="AB63" s="114">
        <v>400442.55250679946</v>
      </c>
      <c r="AC63" s="114">
        <v>0.22137460236263906</v>
      </c>
      <c r="AD63" s="114">
        <v>1830347.3322165471</v>
      </c>
      <c r="AE63" s="114">
        <v>0.20440900767084627</v>
      </c>
      <c r="AF63" s="382">
        <v>4.5108284429012553</v>
      </c>
      <c r="AG63" s="163">
        <v>4.1906439327037928E-2</v>
      </c>
      <c r="AH63" s="436">
        <v>4.5709920829643496</v>
      </c>
      <c r="AI63" s="434">
        <v>4.8229020036143475E-2</v>
      </c>
      <c r="AJ63" s="22">
        <v>0</v>
      </c>
      <c r="AL63" s="22">
        <v>0</v>
      </c>
    </row>
    <row r="64" spans="1:38" s="22" customFormat="1" x14ac:dyDescent="0.15">
      <c r="A64" s="113" t="s">
        <v>657</v>
      </c>
      <c r="B64" s="324">
        <v>19943.692692258905</v>
      </c>
      <c r="C64" s="114">
        <v>0.10297834588161656</v>
      </c>
      <c r="D64" s="114">
        <v>33339.318458762471</v>
      </c>
      <c r="E64" s="114">
        <v>6.6280561716466638E-2</v>
      </c>
      <c r="F64" s="114">
        <v>18581.087592385182</v>
      </c>
      <c r="G64" s="114">
        <v>0.12579773580924156</v>
      </c>
      <c r="H64" s="114">
        <v>18581.087592385182</v>
      </c>
      <c r="I64" s="114">
        <v>0.12579773580924156</v>
      </c>
      <c r="J64" s="114">
        <v>71446.42234648997</v>
      </c>
      <c r="K64" s="114">
        <v>9.337220117883345E-2</v>
      </c>
      <c r="L64" s="114">
        <v>5282.7182319500416</v>
      </c>
      <c r="M64" s="114"/>
      <c r="N64" s="114">
        <v>2.1430078852650309</v>
      </c>
      <c r="O64" s="114">
        <v>2.1405012191623234</v>
      </c>
      <c r="P64" s="324">
        <v>6083.6509548065242</v>
      </c>
      <c r="Q64" s="114">
        <v>3.3005043745313838</v>
      </c>
      <c r="R64" s="114">
        <v>439025.1087336092</v>
      </c>
      <c r="S64" s="114">
        <v>0.19056891293574107</v>
      </c>
      <c r="T64" s="114">
        <v>4399.13966269506</v>
      </c>
      <c r="U64" s="114">
        <v>3.6747047505529746</v>
      </c>
      <c r="V64" s="114">
        <v>5313.291919166435</v>
      </c>
      <c r="W64" s="114">
        <v>2.3272184510426195</v>
      </c>
      <c r="X64" s="114">
        <v>1909022.9045318398</v>
      </c>
      <c r="Y64" s="114">
        <v>0.19728761297669919</v>
      </c>
      <c r="Z64" s="114">
        <v>3053.4550059046633</v>
      </c>
      <c r="AA64" s="114">
        <v>8.6906200247362122</v>
      </c>
      <c r="AB64" s="114">
        <v>400372.49835568032</v>
      </c>
      <c r="AC64" s="114">
        <v>0.20880133118152214</v>
      </c>
      <c r="AD64" s="114">
        <v>1834523.0271794451</v>
      </c>
      <c r="AE64" s="114">
        <v>0.20331612697549648</v>
      </c>
      <c r="AF64" s="382">
        <v>4.5213978923981699</v>
      </c>
      <c r="AG64" s="163">
        <v>4.2909952865273923E-2</v>
      </c>
      <c r="AH64" s="436">
        <v>4.5821009067160139</v>
      </c>
      <c r="AI64" s="434">
        <v>3.9289655217660674E-2</v>
      </c>
      <c r="AJ64" s="22">
        <v>0</v>
      </c>
      <c r="AL64" s="22">
        <v>0</v>
      </c>
    </row>
    <row r="65" spans="1:38" s="22" customFormat="1" x14ac:dyDescent="0.15">
      <c r="A65" s="113" t="s">
        <v>658</v>
      </c>
      <c r="B65" s="324">
        <v>19755.73009899514</v>
      </c>
      <c r="C65" s="114">
        <v>9.9588388713756373E-2</v>
      </c>
      <c r="D65" s="114">
        <v>32852.029625772484</v>
      </c>
      <c r="E65" s="114">
        <v>7.1344975794378401E-2</v>
      </c>
      <c r="F65" s="114">
        <v>18295.559746575327</v>
      </c>
      <c r="G65" s="114">
        <v>0.11700234952098033</v>
      </c>
      <c r="H65" s="114">
        <v>18295.559746575327</v>
      </c>
      <c r="I65" s="114">
        <v>0.11700234952098033</v>
      </c>
      <c r="J65" s="114">
        <v>70862.209504727638</v>
      </c>
      <c r="K65" s="114">
        <v>0.10294997568523373</v>
      </c>
      <c r="L65" s="114">
        <v>5208.5927726571699</v>
      </c>
      <c r="M65" s="114"/>
      <c r="N65" s="114">
        <v>2.1570116157796257</v>
      </c>
      <c r="O65" s="114">
        <v>2.1614291741203115</v>
      </c>
      <c r="P65" s="324">
        <v>5844.799460663633</v>
      </c>
      <c r="Q65" s="114">
        <v>2.9984210863104628</v>
      </c>
      <c r="R65" s="114">
        <v>437563.12692352675</v>
      </c>
      <c r="S65" s="114">
        <v>0.1636653937876035</v>
      </c>
      <c r="T65" s="114">
        <v>4338.2044051584517</v>
      </c>
      <c r="U65" s="114">
        <v>4.2198580575000335</v>
      </c>
      <c r="V65" s="114">
        <v>5155.8049021265288</v>
      </c>
      <c r="W65" s="114">
        <v>2.4545313871913392</v>
      </c>
      <c r="X65" s="114">
        <v>1900612.9674066703</v>
      </c>
      <c r="Y65" s="114">
        <v>0.17551949641007264</v>
      </c>
      <c r="Z65" s="114">
        <v>4270.7566002394324</v>
      </c>
      <c r="AA65" s="114">
        <v>5.9378029882981309</v>
      </c>
      <c r="AB65" s="114">
        <v>399555.29239562759</v>
      </c>
      <c r="AC65" s="114">
        <v>0.17874406407214075</v>
      </c>
      <c r="AD65" s="114">
        <v>1825480.0013017037</v>
      </c>
      <c r="AE65" s="114">
        <v>0.18023079562988883</v>
      </c>
      <c r="AF65" s="382">
        <v>4.5121557459756465</v>
      </c>
      <c r="AG65" s="163">
        <v>3.5629527833595458E-2</v>
      </c>
      <c r="AH65" s="436">
        <v>4.5688173406213766</v>
      </c>
      <c r="AI65" s="434">
        <v>5.0198621922908533E-2</v>
      </c>
      <c r="AJ65" s="22">
        <v>0</v>
      </c>
      <c r="AL65" s="22">
        <v>0</v>
      </c>
    </row>
    <row r="66" spans="1:38" s="22" customFormat="1" x14ac:dyDescent="0.15">
      <c r="A66" s="113" t="s">
        <v>659</v>
      </c>
      <c r="B66" s="324">
        <v>18906.671101260406</v>
      </c>
      <c r="C66" s="114">
        <v>0.11517767333971478</v>
      </c>
      <c r="D66" s="114">
        <v>31265.782823212019</v>
      </c>
      <c r="E66" s="114">
        <v>7.474705039221119E-2</v>
      </c>
      <c r="F66" s="114">
        <v>17515.171832430675</v>
      </c>
      <c r="G66" s="114">
        <v>0.10681793369511651</v>
      </c>
      <c r="H66" s="114">
        <v>17515.171832430675</v>
      </c>
      <c r="I66" s="114">
        <v>0.10681793369511651</v>
      </c>
      <c r="J66" s="114">
        <v>66299.472774932336</v>
      </c>
      <c r="K66" s="114">
        <v>0.10747258167999019</v>
      </c>
      <c r="L66" s="114">
        <v>5126.9474556611631</v>
      </c>
      <c r="M66" s="114"/>
      <c r="N66" s="114">
        <v>2.1205121634028292</v>
      </c>
      <c r="O66" s="114">
        <v>2.1161067883095139</v>
      </c>
      <c r="P66" s="324">
        <v>5583.9504412413407</v>
      </c>
      <c r="Q66" s="114">
        <v>3.4512162767084287</v>
      </c>
      <c r="R66" s="114">
        <v>412255.18750209972</v>
      </c>
      <c r="S66" s="114">
        <v>0.16497003791437898</v>
      </c>
      <c r="T66" s="114">
        <v>4581.636539452843</v>
      </c>
      <c r="U66" s="114">
        <v>4.2258013468029372</v>
      </c>
      <c r="V66" s="114">
        <v>5125.5732404434784</v>
      </c>
      <c r="W66" s="114">
        <v>2.9111214575282198</v>
      </c>
      <c r="X66" s="114">
        <v>1787590.8905623471</v>
      </c>
      <c r="Y66" s="114">
        <v>0.16705352725562114</v>
      </c>
      <c r="Z66" s="114">
        <v>3142.8604711877902</v>
      </c>
      <c r="AA66" s="114">
        <v>5.931019754967763</v>
      </c>
      <c r="AB66" s="114">
        <v>375863.83143844421</v>
      </c>
      <c r="AC66" s="114">
        <v>0.17426654601926861</v>
      </c>
      <c r="AD66" s="114">
        <v>1718148.5573162271</v>
      </c>
      <c r="AE66" s="114">
        <v>0.17521741988177114</v>
      </c>
      <c r="AF66" s="382">
        <v>4.5097150299945223</v>
      </c>
      <c r="AG66" s="163">
        <v>3.2788792987540505E-2</v>
      </c>
      <c r="AH66" s="436">
        <v>4.5712293214304216</v>
      </c>
      <c r="AI66" s="434">
        <v>4.481551667230619E-2</v>
      </c>
      <c r="AJ66" s="22">
        <v>0</v>
      </c>
      <c r="AL66" s="22">
        <v>0</v>
      </c>
    </row>
    <row r="67" spans="1:38" s="22" customFormat="1" x14ac:dyDescent="0.15">
      <c r="A67" s="113" t="s">
        <v>660</v>
      </c>
      <c r="B67" s="324">
        <v>18759.50163675988</v>
      </c>
      <c r="C67" s="114">
        <v>0.11262328463822026</v>
      </c>
      <c r="D67" s="114">
        <v>31016.842983336504</v>
      </c>
      <c r="E67" s="114">
        <v>7.5722683880258712E-2</v>
      </c>
      <c r="F67" s="114">
        <v>17688.359614262637</v>
      </c>
      <c r="G67" s="114">
        <v>0.1101544026867175</v>
      </c>
      <c r="H67" s="114">
        <v>17688.359614262637</v>
      </c>
      <c r="I67" s="114">
        <v>0.1101544026867175</v>
      </c>
      <c r="J67" s="114">
        <v>65374.326849377219</v>
      </c>
      <c r="K67" s="114">
        <v>9.1012904228874175E-2</v>
      </c>
      <c r="L67" s="114">
        <v>5040.4814259200166</v>
      </c>
      <c r="M67" s="114"/>
      <c r="N67" s="114">
        <v>2.1077040911126557</v>
      </c>
      <c r="O67" s="114">
        <v>2.099514231527488</v>
      </c>
      <c r="P67" s="324">
        <v>5746.6257224609453</v>
      </c>
      <c r="Q67" s="114">
        <v>2.8764540291018945</v>
      </c>
      <c r="R67" s="114">
        <v>434544.10634611361</v>
      </c>
      <c r="S67" s="114">
        <v>0.18143711905616716</v>
      </c>
      <c r="T67" s="114">
        <v>4232.4606550825083</v>
      </c>
      <c r="U67" s="114">
        <v>4.3390532283749188</v>
      </c>
      <c r="V67" s="114">
        <v>5054.1692535918801</v>
      </c>
      <c r="W67" s="114">
        <v>2.2280777294759559</v>
      </c>
      <c r="X67" s="114">
        <v>1888954.2969643536</v>
      </c>
      <c r="Y67" s="114">
        <v>0.18491748814464173</v>
      </c>
      <c r="Z67" s="114">
        <v>4109.4215325990208</v>
      </c>
      <c r="AA67" s="114">
        <v>5.7956945631381194</v>
      </c>
      <c r="AB67" s="114">
        <v>398473.09410918533</v>
      </c>
      <c r="AC67" s="114">
        <v>0.19461543903334488</v>
      </c>
      <c r="AD67" s="114">
        <v>1819470.5485823762</v>
      </c>
      <c r="AE67" s="114">
        <v>0.19484004875037447</v>
      </c>
      <c r="AF67" s="382">
        <v>4.5092407950215199</v>
      </c>
      <c r="AG67" s="163">
        <v>4.0129367501555949E-2</v>
      </c>
      <c r="AH67" s="436">
        <v>4.56613870336757</v>
      </c>
      <c r="AI67" s="434">
        <v>4.1701771119800411E-2</v>
      </c>
      <c r="AJ67" s="22">
        <v>0</v>
      </c>
      <c r="AL67" s="22">
        <v>0</v>
      </c>
    </row>
    <row r="68" spans="1:38" s="22" customFormat="1" x14ac:dyDescent="0.15">
      <c r="A68" s="113"/>
      <c r="B68" s="324"/>
      <c r="C68" s="114"/>
      <c r="D68" s="114"/>
      <c r="E68" s="114"/>
      <c r="F68" s="114"/>
      <c r="G68" s="114"/>
      <c r="H68" s="114"/>
      <c r="I68" s="114"/>
      <c r="J68" s="114"/>
      <c r="K68" s="114"/>
      <c r="L68" s="114"/>
      <c r="M68" s="114"/>
      <c r="N68" s="114"/>
      <c r="O68" s="114"/>
      <c r="P68" s="324"/>
      <c r="Q68" s="114"/>
      <c r="R68" s="114"/>
      <c r="S68" s="114"/>
      <c r="T68" s="114"/>
      <c r="U68" s="114"/>
      <c r="V68" s="114"/>
      <c r="W68" s="114"/>
      <c r="X68" s="114"/>
      <c r="Y68" s="114"/>
      <c r="Z68" s="114"/>
      <c r="AA68" s="114"/>
      <c r="AB68" s="114"/>
      <c r="AC68" s="114"/>
      <c r="AD68" s="114"/>
      <c r="AE68" s="114"/>
      <c r="AF68" s="382"/>
      <c r="AG68" s="163"/>
      <c r="AH68" s="436"/>
      <c r="AI68" s="434"/>
    </row>
    <row r="69" spans="1:38" s="22" customFormat="1" x14ac:dyDescent="0.15">
      <c r="A69" s="113"/>
      <c r="B69" s="324"/>
      <c r="C69" s="114"/>
      <c r="D69" s="114"/>
      <c r="E69" s="114"/>
      <c r="F69" s="114"/>
      <c r="G69" s="114"/>
      <c r="H69" s="114"/>
      <c r="I69" s="114"/>
      <c r="J69" s="114"/>
      <c r="K69" s="114"/>
      <c r="L69" s="114"/>
      <c r="M69" s="114"/>
      <c r="N69" s="114"/>
      <c r="O69" s="114"/>
      <c r="P69" s="324"/>
      <c r="Q69" s="114"/>
      <c r="R69" s="114"/>
      <c r="S69" s="114"/>
      <c r="T69" s="114"/>
      <c r="U69" s="114"/>
      <c r="V69" s="114"/>
      <c r="W69" s="114"/>
      <c r="X69" s="114"/>
      <c r="Y69" s="114"/>
      <c r="Z69" s="114"/>
      <c r="AA69" s="114"/>
      <c r="AB69" s="114"/>
      <c r="AC69" s="114"/>
      <c r="AD69" s="114"/>
      <c r="AE69" s="114"/>
      <c r="AF69" s="382"/>
      <c r="AG69" s="163"/>
      <c r="AH69" s="436"/>
      <c r="AI69" s="434"/>
    </row>
    <row r="70" spans="1:38" s="22" customFormat="1" x14ac:dyDescent="0.15">
      <c r="A70" s="113">
        <v>0</v>
      </c>
      <c r="B70" s="324">
        <v>17379.98754512626</v>
      </c>
      <c r="C70" s="114">
        <v>0.11848634821645694</v>
      </c>
      <c r="D70" s="114">
        <v>21236.647781613807</v>
      </c>
      <c r="E70" s="114">
        <v>9.8900086300947251E-2</v>
      </c>
      <c r="F70" s="114">
        <v>15224.478016517514</v>
      </c>
      <c r="G70" s="114">
        <v>0.11738779296990016</v>
      </c>
      <c r="H70" s="114">
        <v>7030.4089885982266</v>
      </c>
      <c r="I70" s="114">
        <v>0.85179573330357106</v>
      </c>
      <c r="J70" s="114">
        <v>29596.57976436862</v>
      </c>
      <c r="K70" s="114">
        <v>8.0199849374271465E-2</v>
      </c>
      <c r="L70" s="114">
        <v>25441.080656569717</v>
      </c>
      <c r="M70" s="114">
        <v>15.993278122569262</v>
      </c>
      <c r="N70" s="114">
        <v>1.39365591352853</v>
      </c>
      <c r="O70" s="114" t="e">
        <v>#VALUE!</v>
      </c>
      <c r="P70" s="324">
        <v>48879.467869117194</v>
      </c>
      <c r="Q70" s="114">
        <v>1.0295111181757417</v>
      </c>
      <c r="R70" s="114">
        <v>1357786.7396879308</v>
      </c>
      <c r="S70" s="114">
        <v>1.5265309306040433</v>
      </c>
      <c r="T70" s="114">
        <v>37913.182916339741</v>
      </c>
      <c r="U70" s="114">
        <v>0.9573228212414413</v>
      </c>
      <c r="V70" s="114">
        <v>26918.386772893969</v>
      </c>
      <c r="W70" s="114">
        <v>1.5457092946171833</v>
      </c>
      <c r="X70" s="114">
        <v>5983846.5319385799</v>
      </c>
      <c r="Y70" s="114">
        <v>1.5429990044015849</v>
      </c>
      <c r="Z70" s="114">
        <v>1336550.0919063166</v>
      </c>
      <c r="AA70" s="114">
        <v>1.5507862128395173</v>
      </c>
      <c r="AB70" s="114">
        <v>1309631.7051334232</v>
      </c>
      <c r="AC70" s="114">
        <v>1.5555355291304076</v>
      </c>
      <c r="AD70" s="114">
        <v>5954249.95217421</v>
      </c>
      <c r="AE70" s="114">
        <v>1.550668735010307</v>
      </c>
      <c r="AF70" s="382">
        <v>4.4546089343794177</v>
      </c>
      <c r="AG70" s="163">
        <v>1.6260444601620579E-2</v>
      </c>
      <c r="AH70" s="436">
        <v>4.5467912470931671</v>
      </c>
      <c r="AI70" s="434">
        <v>1.7244661117080874E-2</v>
      </c>
    </row>
    <row r="71" spans="1:38" s="22" customFormat="1" x14ac:dyDescent="0.15">
      <c r="A71" s="113">
        <v>0</v>
      </c>
      <c r="B71" s="324">
        <v>17379.98754512626</v>
      </c>
      <c r="C71" s="114">
        <v>0.11848634821645694</v>
      </c>
      <c r="D71" s="114">
        <v>21236.647781613807</v>
      </c>
      <c r="E71" s="114">
        <v>9.8900086300947251E-2</v>
      </c>
      <c r="F71" s="114">
        <v>15224.478016517514</v>
      </c>
      <c r="G71" s="114">
        <v>0.11738779296990016</v>
      </c>
      <c r="H71" s="114">
        <v>7030.4089885982266</v>
      </c>
      <c r="I71" s="114">
        <v>0.85179573330357106</v>
      </c>
      <c r="J71" s="114">
        <v>29596.57976436862</v>
      </c>
      <c r="K71" s="114">
        <v>8.0199849374271465E-2</v>
      </c>
      <c r="L71" s="114">
        <v>25441.080656569717</v>
      </c>
      <c r="M71" s="114">
        <v>15.993278122569262</v>
      </c>
      <c r="N71" s="114">
        <v>1.39365591352853</v>
      </c>
      <c r="O71" s="114" t="e">
        <v>#VALUE!</v>
      </c>
      <c r="P71" s="324">
        <v>48879.467869117194</v>
      </c>
      <c r="Q71" s="114">
        <v>1.0295111181757417</v>
      </c>
      <c r="R71" s="114">
        <v>1357786.7396879308</v>
      </c>
      <c r="S71" s="114">
        <v>1.5265309306040433</v>
      </c>
      <c r="T71" s="114">
        <v>37913.182916339741</v>
      </c>
      <c r="U71" s="114">
        <v>0.9573228212414413</v>
      </c>
      <c r="V71" s="114">
        <v>26918.386772893969</v>
      </c>
      <c r="W71" s="114">
        <v>1.5457092946171833</v>
      </c>
      <c r="X71" s="114">
        <v>5983846.5319385799</v>
      </c>
      <c r="Y71" s="114">
        <v>1.5429990044015849</v>
      </c>
      <c r="Z71" s="114">
        <v>1336550.0919063166</v>
      </c>
      <c r="AA71" s="114">
        <v>1.5507862128395173</v>
      </c>
      <c r="AB71" s="114">
        <v>1309631.7051334232</v>
      </c>
      <c r="AC71" s="114">
        <v>1.5555355291304076</v>
      </c>
      <c r="AD71" s="114">
        <v>5954249.95217421</v>
      </c>
      <c r="AE71" s="114">
        <v>1.550668735010307</v>
      </c>
      <c r="AF71" s="382">
        <v>4.4546089343794177</v>
      </c>
      <c r="AG71" s="163">
        <v>1.6260444601620579E-2</v>
      </c>
      <c r="AH71" s="436">
        <v>4.5467912470931671</v>
      </c>
      <c r="AI71" s="434">
        <v>1.7244661117080874E-2</v>
      </c>
    </row>
    <row r="72" spans="1:38" s="22" customFormat="1" x14ac:dyDescent="0.15">
      <c r="A72" s="113">
        <v>0</v>
      </c>
      <c r="B72" s="324">
        <v>17379.98754512626</v>
      </c>
      <c r="C72" s="114">
        <v>0.11848634821645694</v>
      </c>
      <c r="D72" s="114">
        <v>21236.647781613807</v>
      </c>
      <c r="E72" s="114">
        <v>9.8900086300947251E-2</v>
      </c>
      <c r="F72" s="114">
        <v>15224.478016517514</v>
      </c>
      <c r="G72" s="114">
        <v>0.11738779296990016</v>
      </c>
      <c r="H72" s="114">
        <v>7030.4089885982266</v>
      </c>
      <c r="I72" s="114">
        <v>0.85179573330357106</v>
      </c>
      <c r="J72" s="114">
        <v>29596.57976436862</v>
      </c>
      <c r="K72" s="114">
        <v>8.0199849374271465E-2</v>
      </c>
      <c r="L72" s="114">
        <v>25441.080656569717</v>
      </c>
      <c r="M72" s="114">
        <v>15.993278122569262</v>
      </c>
      <c r="N72" s="114">
        <v>1.39365591352853</v>
      </c>
      <c r="O72" s="114" t="e">
        <v>#VALUE!</v>
      </c>
      <c r="P72" s="324">
        <v>48879.467869117194</v>
      </c>
      <c r="Q72" s="114">
        <v>1.0295111181757417</v>
      </c>
      <c r="R72" s="114">
        <v>1357786.7396879308</v>
      </c>
      <c r="S72" s="114">
        <v>1.5265309306040433</v>
      </c>
      <c r="T72" s="114">
        <v>37913.182916339741</v>
      </c>
      <c r="U72" s="114">
        <v>0.9573228212414413</v>
      </c>
      <c r="V72" s="114">
        <v>26918.386772893969</v>
      </c>
      <c r="W72" s="114">
        <v>1.5457092946171833</v>
      </c>
      <c r="X72" s="114">
        <v>5983846.5319385799</v>
      </c>
      <c r="Y72" s="114">
        <v>1.5429990044015849</v>
      </c>
      <c r="Z72" s="114">
        <v>1336550.0919063166</v>
      </c>
      <c r="AA72" s="114">
        <v>1.5507862128395173</v>
      </c>
      <c r="AB72" s="114">
        <v>1309631.7051334232</v>
      </c>
      <c r="AC72" s="114">
        <v>1.5555355291304076</v>
      </c>
      <c r="AD72" s="114">
        <v>5954249.95217421</v>
      </c>
      <c r="AE72" s="114">
        <v>1.550668735010307</v>
      </c>
      <c r="AF72" s="382">
        <v>4.4546089343794177</v>
      </c>
      <c r="AG72" s="163">
        <v>1.6260444601620579E-2</v>
      </c>
      <c r="AH72" s="436">
        <v>4.5467912470931671</v>
      </c>
      <c r="AI72" s="434">
        <v>1.7244661117080874E-2</v>
      </c>
    </row>
    <row r="73" spans="1:38" s="22" customFormat="1" x14ac:dyDescent="0.15">
      <c r="A73" s="113">
        <v>0</v>
      </c>
      <c r="B73" s="324">
        <v>17379.98754512626</v>
      </c>
      <c r="C73" s="114">
        <v>0.11848634821645694</v>
      </c>
      <c r="D73" s="114">
        <v>21236.647781613807</v>
      </c>
      <c r="E73" s="114">
        <v>9.8900086300947251E-2</v>
      </c>
      <c r="F73" s="114">
        <v>15224.478016517514</v>
      </c>
      <c r="G73" s="114">
        <v>0.11738779296990016</v>
      </c>
      <c r="H73" s="114">
        <v>7030.4089885982266</v>
      </c>
      <c r="I73" s="114">
        <v>0.85179573330357106</v>
      </c>
      <c r="J73" s="114">
        <v>29596.57976436862</v>
      </c>
      <c r="K73" s="114">
        <v>8.0199849374271465E-2</v>
      </c>
      <c r="L73" s="114">
        <v>25441.080656569717</v>
      </c>
      <c r="M73" s="114">
        <v>15.993278122569262</v>
      </c>
      <c r="N73" s="114">
        <v>1.39365591352853</v>
      </c>
      <c r="O73" s="114" t="e">
        <v>#VALUE!</v>
      </c>
      <c r="P73" s="324">
        <v>48879.467869117194</v>
      </c>
      <c r="Q73" s="114">
        <v>1.0295111181757417</v>
      </c>
      <c r="R73" s="114">
        <v>1357786.7396879308</v>
      </c>
      <c r="S73" s="114">
        <v>1.5265309306040433</v>
      </c>
      <c r="T73" s="114">
        <v>37913.182916339741</v>
      </c>
      <c r="U73" s="114">
        <v>0.9573228212414413</v>
      </c>
      <c r="V73" s="114">
        <v>26918.386772893969</v>
      </c>
      <c r="W73" s="114">
        <v>1.5457092946171833</v>
      </c>
      <c r="X73" s="114">
        <v>5983846.5319385799</v>
      </c>
      <c r="Y73" s="114">
        <v>1.5429990044015849</v>
      </c>
      <c r="Z73" s="114">
        <v>1336550.0919063166</v>
      </c>
      <c r="AA73" s="114">
        <v>1.5507862128395173</v>
      </c>
      <c r="AB73" s="114">
        <v>1309631.7051334232</v>
      </c>
      <c r="AC73" s="114">
        <v>1.5555355291304076</v>
      </c>
      <c r="AD73" s="114">
        <v>5954249.95217421</v>
      </c>
      <c r="AE73" s="114">
        <v>1.550668735010307</v>
      </c>
      <c r="AF73" s="382">
        <v>4.4546089343794177</v>
      </c>
      <c r="AG73" s="163">
        <v>1.6260444601620579E-2</v>
      </c>
      <c r="AH73" s="436">
        <v>4.5467912470931671</v>
      </c>
      <c r="AI73" s="434">
        <v>1.7244661117080874E-2</v>
      </c>
    </row>
    <row r="74" spans="1:38" s="22" customFormat="1" x14ac:dyDescent="0.15">
      <c r="A74" s="113">
        <v>0</v>
      </c>
      <c r="B74" s="324">
        <v>17379.98754512626</v>
      </c>
      <c r="C74" s="114">
        <v>0.11848634821645694</v>
      </c>
      <c r="D74" s="114">
        <v>21236.647781613807</v>
      </c>
      <c r="E74" s="114">
        <v>9.8900086300947251E-2</v>
      </c>
      <c r="F74" s="114">
        <v>15224.478016517514</v>
      </c>
      <c r="G74" s="114">
        <v>0.11738779296990016</v>
      </c>
      <c r="H74" s="114">
        <v>7030.4089885982266</v>
      </c>
      <c r="I74" s="114">
        <v>0.85179573330357106</v>
      </c>
      <c r="J74" s="114">
        <v>29596.57976436862</v>
      </c>
      <c r="K74" s="114">
        <v>8.0199849374271465E-2</v>
      </c>
      <c r="L74" s="114">
        <v>25441.080656569717</v>
      </c>
      <c r="M74" s="114">
        <v>15.993278122569262</v>
      </c>
      <c r="N74" s="114">
        <v>1.39365591352853</v>
      </c>
      <c r="O74" s="114" t="e">
        <v>#VALUE!</v>
      </c>
      <c r="P74" s="324">
        <v>48879.467869117194</v>
      </c>
      <c r="Q74" s="114">
        <v>1.0295111181757417</v>
      </c>
      <c r="R74" s="114">
        <v>1357786.7396879308</v>
      </c>
      <c r="S74" s="114">
        <v>1.5265309306040433</v>
      </c>
      <c r="T74" s="114">
        <v>37913.182916339741</v>
      </c>
      <c r="U74" s="114">
        <v>0.9573228212414413</v>
      </c>
      <c r="V74" s="114">
        <v>26918.386772893969</v>
      </c>
      <c r="W74" s="114">
        <v>1.5457092946171833</v>
      </c>
      <c r="X74" s="114">
        <v>5983846.5319385799</v>
      </c>
      <c r="Y74" s="114">
        <v>1.5429990044015849</v>
      </c>
      <c r="Z74" s="114">
        <v>1336550.0919063166</v>
      </c>
      <c r="AA74" s="114">
        <v>1.5507862128395173</v>
      </c>
      <c r="AB74" s="114">
        <v>1309631.7051334232</v>
      </c>
      <c r="AC74" s="114">
        <v>1.5555355291304076</v>
      </c>
      <c r="AD74" s="114">
        <v>5954249.95217421</v>
      </c>
      <c r="AE74" s="114">
        <v>1.550668735010307</v>
      </c>
      <c r="AF74" s="382">
        <v>4.4546089343794177</v>
      </c>
      <c r="AG74" s="163">
        <v>1.6260444601620579E-2</v>
      </c>
      <c r="AH74" s="436">
        <v>4.5467912470931671</v>
      </c>
      <c r="AI74" s="434">
        <v>1.7244661117080874E-2</v>
      </c>
    </row>
    <row r="75" spans="1:38" s="22" customFormat="1" x14ac:dyDescent="0.15">
      <c r="A75" s="113">
        <v>0</v>
      </c>
      <c r="B75" s="324">
        <v>17379.98754512626</v>
      </c>
      <c r="C75" s="114">
        <v>0.11848634821645694</v>
      </c>
      <c r="D75" s="114">
        <v>21236.647781613807</v>
      </c>
      <c r="E75" s="114">
        <v>9.8900086300947251E-2</v>
      </c>
      <c r="F75" s="114">
        <v>15224.478016517514</v>
      </c>
      <c r="G75" s="114">
        <v>0.11738779296990016</v>
      </c>
      <c r="H75" s="114">
        <v>7030.4089885982266</v>
      </c>
      <c r="I75" s="114">
        <v>0.85179573330357106</v>
      </c>
      <c r="J75" s="114">
        <v>29596.57976436862</v>
      </c>
      <c r="K75" s="114">
        <v>8.0199849374271465E-2</v>
      </c>
      <c r="L75" s="114">
        <v>25441.080656569717</v>
      </c>
      <c r="M75" s="114">
        <v>15.993278122569262</v>
      </c>
      <c r="N75" s="114">
        <v>1.39365591352853</v>
      </c>
      <c r="O75" s="114" t="e">
        <v>#VALUE!</v>
      </c>
      <c r="P75" s="324">
        <v>48879.467869117194</v>
      </c>
      <c r="Q75" s="114">
        <v>1.0295111181757417</v>
      </c>
      <c r="R75" s="114">
        <v>1357786.7396879308</v>
      </c>
      <c r="S75" s="114">
        <v>1.5265309306040433</v>
      </c>
      <c r="T75" s="114">
        <v>37913.182916339741</v>
      </c>
      <c r="U75" s="114">
        <v>0.9573228212414413</v>
      </c>
      <c r="V75" s="114">
        <v>26918.386772893969</v>
      </c>
      <c r="W75" s="114">
        <v>1.5457092946171833</v>
      </c>
      <c r="X75" s="114">
        <v>5983846.5319385799</v>
      </c>
      <c r="Y75" s="114">
        <v>1.5429990044015849</v>
      </c>
      <c r="Z75" s="114">
        <v>1336550.0919063166</v>
      </c>
      <c r="AA75" s="114">
        <v>1.5507862128395173</v>
      </c>
      <c r="AB75" s="114">
        <v>1309631.7051334232</v>
      </c>
      <c r="AC75" s="114">
        <v>1.5555355291304076</v>
      </c>
      <c r="AD75" s="114">
        <v>5954249.95217421</v>
      </c>
      <c r="AE75" s="114">
        <v>1.550668735010307</v>
      </c>
      <c r="AF75" s="382">
        <v>4.4546089343794177</v>
      </c>
      <c r="AG75" s="163">
        <v>1.6260444601620579E-2</v>
      </c>
      <c r="AH75" s="436">
        <v>4.5467912470931671</v>
      </c>
      <c r="AI75" s="434">
        <v>1.7244661117080874E-2</v>
      </c>
    </row>
    <row r="76" spans="1:38" s="22" customFormat="1" x14ac:dyDescent="0.15">
      <c r="A76" s="113">
        <v>0</v>
      </c>
      <c r="B76" s="324">
        <v>17379.98754512626</v>
      </c>
      <c r="C76" s="114">
        <v>0.11848634821645694</v>
      </c>
      <c r="D76" s="114">
        <v>21236.647781613807</v>
      </c>
      <c r="E76" s="114">
        <v>9.8900086300947251E-2</v>
      </c>
      <c r="F76" s="114">
        <v>15224.478016517514</v>
      </c>
      <c r="G76" s="114">
        <v>0.11738779296990016</v>
      </c>
      <c r="H76" s="114">
        <v>7030.4089885982266</v>
      </c>
      <c r="I76" s="114">
        <v>0.85179573330357106</v>
      </c>
      <c r="J76" s="114">
        <v>29596.57976436862</v>
      </c>
      <c r="K76" s="114">
        <v>8.0199849374271465E-2</v>
      </c>
      <c r="L76" s="114">
        <v>25441.080656569717</v>
      </c>
      <c r="M76" s="114">
        <v>15.993278122569262</v>
      </c>
      <c r="N76" s="114">
        <v>1.39365591352853</v>
      </c>
      <c r="O76" s="114" t="e">
        <v>#VALUE!</v>
      </c>
      <c r="P76" s="324">
        <v>48879.467869117194</v>
      </c>
      <c r="Q76" s="114">
        <v>1.0295111181757417</v>
      </c>
      <c r="R76" s="114">
        <v>1357786.7396879308</v>
      </c>
      <c r="S76" s="114">
        <v>1.5265309306040433</v>
      </c>
      <c r="T76" s="114">
        <v>37913.182916339741</v>
      </c>
      <c r="U76" s="114">
        <v>0.9573228212414413</v>
      </c>
      <c r="V76" s="114">
        <v>26918.386772893969</v>
      </c>
      <c r="W76" s="114">
        <v>1.5457092946171833</v>
      </c>
      <c r="X76" s="114">
        <v>5983846.5319385799</v>
      </c>
      <c r="Y76" s="114">
        <v>1.5429990044015849</v>
      </c>
      <c r="Z76" s="114">
        <v>1336550.0919063166</v>
      </c>
      <c r="AA76" s="114">
        <v>1.5507862128395173</v>
      </c>
      <c r="AB76" s="114">
        <v>1309631.7051334232</v>
      </c>
      <c r="AC76" s="114">
        <v>1.5555355291304076</v>
      </c>
      <c r="AD76" s="114">
        <v>5954249.95217421</v>
      </c>
      <c r="AE76" s="114">
        <v>1.550668735010307</v>
      </c>
      <c r="AF76" s="382">
        <v>4.4546089343794177</v>
      </c>
      <c r="AG76" s="163">
        <v>1.6260444601620579E-2</v>
      </c>
      <c r="AH76" s="436">
        <v>4.5467912470931671</v>
      </c>
      <c r="AI76" s="434">
        <v>1.7244661117080874E-2</v>
      </c>
    </row>
    <row r="77" spans="1:38" s="22" customFormat="1" x14ac:dyDescent="0.15">
      <c r="A77" s="113">
        <v>0</v>
      </c>
      <c r="B77" s="324">
        <v>17379.98754512626</v>
      </c>
      <c r="C77" s="114">
        <v>0.11848634821645694</v>
      </c>
      <c r="D77" s="114">
        <v>21236.647781613807</v>
      </c>
      <c r="E77" s="114">
        <v>9.8900086300947251E-2</v>
      </c>
      <c r="F77" s="114">
        <v>15224.478016517514</v>
      </c>
      <c r="G77" s="114">
        <v>0.11738779296990016</v>
      </c>
      <c r="H77" s="114">
        <v>7030.4089885982266</v>
      </c>
      <c r="I77" s="114">
        <v>0.85179573330357106</v>
      </c>
      <c r="J77" s="114">
        <v>29596.57976436862</v>
      </c>
      <c r="K77" s="114">
        <v>8.0199849374271465E-2</v>
      </c>
      <c r="L77" s="114">
        <v>25441.080656569717</v>
      </c>
      <c r="M77" s="114">
        <v>15.993278122569262</v>
      </c>
      <c r="N77" s="114">
        <v>1.39365591352853</v>
      </c>
      <c r="O77" s="114" t="e">
        <v>#VALUE!</v>
      </c>
      <c r="P77" s="324">
        <v>48879.467869117194</v>
      </c>
      <c r="Q77" s="114">
        <v>1.0295111181757417</v>
      </c>
      <c r="R77" s="114">
        <v>1357786.7396879308</v>
      </c>
      <c r="S77" s="114">
        <v>1.5265309306040433</v>
      </c>
      <c r="T77" s="114">
        <v>37913.182916339741</v>
      </c>
      <c r="U77" s="114">
        <v>0.9573228212414413</v>
      </c>
      <c r="V77" s="114">
        <v>26918.386772893969</v>
      </c>
      <c r="W77" s="114">
        <v>1.5457092946171833</v>
      </c>
      <c r="X77" s="114">
        <v>5983846.5319385799</v>
      </c>
      <c r="Y77" s="114">
        <v>1.5429990044015849</v>
      </c>
      <c r="Z77" s="114">
        <v>1336550.0919063166</v>
      </c>
      <c r="AA77" s="114">
        <v>1.5507862128395173</v>
      </c>
      <c r="AB77" s="114">
        <v>1309631.7051334232</v>
      </c>
      <c r="AC77" s="114">
        <v>1.5555355291304076</v>
      </c>
      <c r="AD77" s="114">
        <v>5954249.95217421</v>
      </c>
      <c r="AE77" s="114">
        <v>1.550668735010307</v>
      </c>
      <c r="AF77" s="382">
        <v>4.4546089343794177</v>
      </c>
      <c r="AG77" s="163">
        <v>1.6260444601620579E-2</v>
      </c>
      <c r="AH77" s="436">
        <v>4.5467912470931671</v>
      </c>
      <c r="AI77" s="434">
        <v>1.7244661117080874E-2</v>
      </c>
    </row>
    <row r="78" spans="1:38" s="22" customFormat="1" x14ac:dyDescent="0.15">
      <c r="A78" s="113">
        <v>0</v>
      </c>
      <c r="B78" s="324">
        <v>17379.98754512626</v>
      </c>
      <c r="C78" s="114">
        <v>0.11848634821645694</v>
      </c>
      <c r="D78" s="114">
        <v>21236.647781613807</v>
      </c>
      <c r="E78" s="114">
        <v>9.8900086300947251E-2</v>
      </c>
      <c r="F78" s="114">
        <v>15224.478016517514</v>
      </c>
      <c r="G78" s="114">
        <v>0.11738779296990016</v>
      </c>
      <c r="H78" s="114">
        <v>7030.4089885982266</v>
      </c>
      <c r="I78" s="114">
        <v>0.85179573330357106</v>
      </c>
      <c r="J78" s="114">
        <v>29596.57976436862</v>
      </c>
      <c r="K78" s="114">
        <v>8.0199849374271465E-2</v>
      </c>
      <c r="L78" s="114">
        <v>25441.080656569717</v>
      </c>
      <c r="M78" s="114">
        <v>15.993278122569262</v>
      </c>
      <c r="N78" s="114">
        <v>1.39365591352853</v>
      </c>
      <c r="O78" s="114" t="e">
        <v>#VALUE!</v>
      </c>
      <c r="P78" s="324">
        <v>48879.467869117194</v>
      </c>
      <c r="Q78" s="114">
        <v>1.0295111181757417</v>
      </c>
      <c r="R78" s="114">
        <v>1357786.7396879308</v>
      </c>
      <c r="S78" s="114">
        <v>1.5265309306040433</v>
      </c>
      <c r="T78" s="114">
        <v>37913.182916339741</v>
      </c>
      <c r="U78" s="114">
        <v>0.9573228212414413</v>
      </c>
      <c r="V78" s="114">
        <v>26918.386772893969</v>
      </c>
      <c r="W78" s="114">
        <v>1.5457092946171833</v>
      </c>
      <c r="X78" s="114">
        <v>5983846.5319385799</v>
      </c>
      <c r="Y78" s="114">
        <v>1.5429990044015849</v>
      </c>
      <c r="Z78" s="114">
        <v>1336550.0919063166</v>
      </c>
      <c r="AA78" s="114">
        <v>1.5507862128395173</v>
      </c>
      <c r="AB78" s="114">
        <v>1309631.7051334232</v>
      </c>
      <c r="AC78" s="114">
        <v>1.5555355291304076</v>
      </c>
      <c r="AD78" s="114">
        <v>5954249.95217421</v>
      </c>
      <c r="AE78" s="114">
        <v>1.550668735010307</v>
      </c>
      <c r="AF78" s="382">
        <v>4.4546089343794177</v>
      </c>
      <c r="AG78" s="163">
        <v>1.6260444601620579E-2</v>
      </c>
      <c r="AH78" s="436">
        <v>4.5467912470931671</v>
      </c>
      <c r="AI78" s="434">
        <v>1.7244661117080874E-2</v>
      </c>
    </row>
    <row r="79" spans="1:38" s="22" customFormat="1" x14ac:dyDescent="0.15">
      <c r="A79" s="113">
        <v>0</v>
      </c>
      <c r="B79" s="324">
        <v>17379.98754512626</v>
      </c>
      <c r="C79" s="114">
        <v>0.11848634821645694</v>
      </c>
      <c r="D79" s="114">
        <v>21236.647781613807</v>
      </c>
      <c r="E79" s="114">
        <v>9.8900086300947251E-2</v>
      </c>
      <c r="F79" s="114">
        <v>15224.478016517514</v>
      </c>
      <c r="G79" s="114">
        <v>0.11738779296990016</v>
      </c>
      <c r="H79" s="114">
        <v>7030.4089885982266</v>
      </c>
      <c r="I79" s="114">
        <v>0.85179573330357106</v>
      </c>
      <c r="J79" s="114">
        <v>29596.57976436862</v>
      </c>
      <c r="K79" s="114">
        <v>8.0199849374271465E-2</v>
      </c>
      <c r="L79" s="114">
        <v>25441.080656569717</v>
      </c>
      <c r="M79" s="114">
        <v>15.993278122569262</v>
      </c>
      <c r="N79" s="114">
        <v>1.39365591352853</v>
      </c>
      <c r="O79" s="114" t="e">
        <v>#VALUE!</v>
      </c>
      <c r="P79" s="324">
        <v>48879.467869117194</v>
      </c>
      <c r="Q79" s="114">
        <v>1.0295111181757417</v>
      </c>
      <c r="R79" s="114">
        <v>1357786.7396879308</v>
      </c>
      <c r="S79" s="114">
        <v>1.5265309306040433</v>
      </c>
      <c r="T79" s="114">
        <v>37913.182916339741</v>
      </c>
      <c r="U79" s="114">
        <v>0.9573228212414413</v>
      </c>
      <c r="V79" s="114">
        <v>26918.386772893969</v>
      </c>
      <c r="W79" s="114">
        <v>1.5457092946171833</v>
      </c>
      <c r="X79" s="114">
        <v>5983846.5319385799</v>
      </c>
      <c r="Y79" s="114">
        <v>1.5429990044015849</v>
      </c>
      <c r="Z79" s="114">
        <v>1336550.0919063166</v>
      </c>
      <c r="AA79" s="114">
        <v>1.5507862128395173</v>
      </c>
      <c r="AB79" s="114">
        <v>1309631.7051334232</v>
      </c>
      <c r="AC79" s="114">
        <v>1.5555355291304076</v>
      </c>
      <c r="AD79" s="114">
        <v>5954249.95217421</v>
      </c>
      <c r="AE79" s="114">
        <v>1.550668735010307</v>
      </c>
      <c r="AF79" s="382">
        <v>4.4546089343794177</v>
      </c>
      <c r="AG79" s="163">
        <v>1.6260444601620579E-2</v>
      </c>
      <c r="AH79" s="436">
        <v>4.5467912470931671</v>
      </c>
      <c r="AI79" s="434">
        <v>1.7244661117080874E-2</v>
      </c>
    </row>
    <row r="80" spans="1:38" s="21" customFormat="1" x14ac:dyDescent="0.15">
      <c r="A80" s="113"/>
      <c r="B80" s="324"/>
      <c r="C80" s="114"/>
      <c r="D80" s="114"/>
      <c r="E80" s="114"/>
      <c r="F80" s="114"/>
      <c r="G80" s="114"/>
      <c r="H80" s="114"/>
      <c r="I80" s="114"/>
      <c r="J80" s="114"/>
      <c r="K80" s="114"/>
      <c r="L80" s="114"/>
      <c r="M80" s="114"/>
      <c r="N80" s="114"/>
      <c r="O80" s="114"/>
      <c r="P80" s="324"/>
      <c r="Q80" s="114"/>
      <c r="R80" s="114"/>
      <c r="S80" s="114"/>
      <c r="T80" s="114"/>
      <c r="U80" s="114"/>
      <c r="V80" s="114"/>
      <c r="W80" s="114"/>
      <c r="X80" s="114"/>
      <c r="Y80" s="114"/>
      <c r="Z80" s="114"/>
      <c r="AA80" s="114"/>
      <c r="AB80" s="114"/>
      <c r="AC80" s="114"/>
      <c r="AD80" s="114"/>
      <c r="AE80" s="114"/>
      <c r="AF80" s="382"/>
      <c r="AG80" s="163"/>
      <c r="AH80" s="436"/>
      <c r="AI80" s="434"/>
    </row>
    <row r="81" spans="1:38" s="21" customFormat="1" x14ac:dyDescent="0.15">
      <c r="A81" s="113"/>
      <c r="B81" s="324"/>
      <c r="C81" s="114"/>
      <c r="D81" s="114"/>
      <c r="E81" s="114"/>
      <c r="F81" s="114"/>
      <c r="G81" s="114"/>
      <c r="H81" s="114"/>
      <c r="I81" s="114"/>
      <c r="J81" s="114"/>
      <c r="K81" s="114"/>
      <c r="L81" s="114"/>
      <c r="M81" s="114"/>
      <c r="N81" s="114"/>
      <c r="O81" s="114"/>
      <c r="P81" s="324"/>
      <c r="Q81" s="114"/>
      <c r="R81" s="114"/>
      <c r="S81" s="114"/>
      <c r="T81" s="114"/>
      <c r="U81" s="114"/>
      <c r="V81" s="114"/>
      <c r="W81" s="114"/>
      <c r="X81" s="114"/>
      <c r="Y81" s="114"/>
      <c r="Z81" s="114"/>
      <c r="AA81" s="114"/>
      <c r="AB81" s="114"/>
      <c r="AC81" s="114"/>
      <c r="AD81" s="114"/>
      <c r="AE81" s="114"/>
      <c r="AF81" s="382"/>
      <c r="AG81" s="163"/>
      <c r="AH81" s="436"/>
      <c r="AI81" s="434"/>
    </row>
    <row r="82" spans="1:38" s="21" customFormat="1" x14ac:dyDescent="0.15">
      <c r="A82" s="113" t="s">
        <v>661</v>
      </c>
      <c r="B82" s="324">
        <v>23051.345125484833</v>
      </c>
      <c r="C82" s="114">
        <v>9.4693799163107467E-2</v>
      </c>
      <c r="D82" s="114">
        <v>38816.651523233442</v>
      </c>
      <c r="E82" s="114">
        <v>8.3672657250530275E-2</v>
      </c>
      <c r="F82" s="114">
        <v>21079.797215157014</v>
      </c>
      <c r="G82" s="114">
        <v>9.3363154449748964E-2</v>
      </c>
      <c r="H82" s="114">
        <v>21079.797215157014</v>
      </c>
      <c r="I82" s="114">
        <v>9.3363154449748964E-2</v>
      </c>
      <c r="J82" s="114">
        <v>85455.369622867613</v>
      </c>
      <c r="K82" s="114">
        <v>0.13887123103106963</v>
      </c>
      <c r="L82" s="114">
        <v>241.54999850721231</v>
      </c>
      <c r="M82" s="114"/>
      <c r="N82" s="163">
        <v>2.2015131720395531</v>
      </c>
      <c r="O82" s="163">
        <v>1.8948528014151969</v>
      </c>
      <c r="P82" s="324">
        <v>147.6329562276525</v>
      </c>
      <c r="Q82" s="114">
        <v>113.17505851727282</v>
      </c>
      <c r="R82" s="114">
        <v>414705.73841659963</v>
      </c>
      <c r="S82" s="114">
        <v>3.1939348991256282</v>
      </c>
      <c r="T82" s="114">
        <v>158.39665536779685</v>
      </c>
      <c r="U82" s="114">
        <v>96.602100574368734</v>
      </c>
      <c r="V82" s="114">
        <v>152.55540045723561</v>
      </c>
      <c r="W82" s="114">
        <v>77.777317516908923</v>
      </c>
      <c r="X82" s="114">
        <v>1819981.5353269193</v>
      </c>
      <c r="Y82" s="114">
        <v>3.3752206358271333</v>
      </c>
      <c r="Z82" s="114">
        <v>940.7382707823499</v>
      </c>
      <c r="AA82" s="114">
        <v>23.702207751542343</v>
      </c>
      <c r="AB82" s="114">
        <v>375736.53149290895</v>
      </c>
      <c r="AC82" s="114">
        <v>3.5275121945626768</v>
      </c>
      <c r="AD82" s="114">
        <v>1733585.4274332703</v>
      </c>
      <c r="AE82" s="114">
        <v>3.5422106068978358</v>
      </c>
      <c r="AF82" s="382">
        <v>4.6108164764009167</v>
      </c>
      <c r="AG82" s="163">
        <v>5.2646218434860587E-2</v>
      </c>
      <c r="AH82" s="436">
        <v>4.6118240867895901</v>
      </c>
      <c r="AI82" s="434">
        <v>6.1767532400763034E-2</v>
      </c>
      <c r="AJ82" s="21">
        <v>0</v>
      </c>
      <c r="AL82" s="21">
        <v>0</v>
      </c>
    </row>
    <row r="83" spans="1:38" s="21" customFormat="1" x14ac:dyDescent="0.15">
      <c r="A83" s="113" t="s">
        <v>662</v>
      </c>
      <c r="B83" s="324">
        <v>23079.7501893392</v>
      </c>
      <c r="C83" s="114">
        <v>8.9076911686439067E-2</v>
      </c>
      <c r="D83" s="114">
        <v>38956.540778148832</v>
      </c>
      <c r="E83" s="114">
        <v>8.6713691385492633E-2</v>
      </c>
      <c r="F83" s="114">
        <v>20999.292003465926</v>
      </c>
      <c r="G83" s="114">
        <v>9.5576287342220595E-2</v>
      </c>
      <c r="H83" s="114">
        <v>20999.292003465926</v>
      </c>
      <c r="I83" s="114">
        <v>9.5576287342220595E-2</v>
      </c>
      <c r="J83" s="114">
        <v>86441.252499231327</v>
      </c>
      <c r="K83" s="114">
        <v>0.16817243732756132</v>
      </c>
      <c r="L83" s="114">
        <v>178.92388317238292</v>
      </c>
      <c r="M83" s="114"/>
      <c r="N83" s="163">
        <v>2.2189149953405827</v>
      </c>
      <c r="O83" s="163">
        <v>1.9032035364098154</v>
      </c>
      <c r="P83" s="324">
        <v>101.87930653521649</v>
      </c>
      <c r="Q83" s="114">
        <v>173.12002519483576</v>
      </c>
      <c r="R83" s="114">
        <v>440566.61518899794</v>
      </c>
      <c r="S83" s="114">
        <v>3.2407477281577264</v>
      </c>
      <c r="T83" s="114">
        <v>297.42520885183404</v>
      </c>
      <c r="U83" s="114">
        <v>51.479907505662709</v>
      </c>
      <c r="V83" s="114">
        <v>191.30616489909224</v>
      </c>
      <c r="W83" s="114">
        <v>61.695558612437466</v>
      </c>
      <c r="X83" s="114">
        <v>1940597.1166103559</v>
      </c>
      <c r="Y83" s="114">
        <v>3.4057331619556725</v>
      </c>
      <c r="Z83" s="114">
        <v>-349.85816776500968</v>
      </c>
      <c r="AA83" s="114">
        <v>-70.722065881442049</v>
      </c>
      <c r="AB83" s="114">
        <v>401418.76824595017</v>
      </c>
      <c r="AC83" s="114">
        <v>3.5598370749735273</v>
      </c>
      <c r="AD83" s="114">
        <v>1854505.7222788879</v>
      </c>
      <c r="AE83" s="114">
        <v>3.563075466356191</v>
      </c>
      <c r="AF83" s="382">
        <v>4.6168115695590117</v>
      </c>
      <c r="AG83" s="163">
        <v>5.1035520344306154E-2</v>
      </c>
      <c r="AH83" s="436">
        <v>4.6196571026185547</v>
      </c>
      <c r="AI83" s="434">
        <v>5.8085485790536309E-2</v>
      </c>
      <c r="AJ83" s="21">
        <v>0</v>
      </c>
      <c r="AL83" s="21">
        <v>0</v>
      </c>
    </row>
    <row r="84" spans="1:38" s="21" customFormat="1" x14ac:dyDescent="0.15">
      <c r="A84" s="113" t="s">
        <v>663</v>
      </c>
      <c r="B84" s="324">
        <v>22960.543890948869</v>
      </c>
      <c r="C84" s="114">
        <v>9.9612547759236919E-2</v>
      </c>
      <c r="D84" s="114">
        <v>38920.215680781737</v>
      </c>
      <c r="E84" s="114">
        <v>8.1538542686737409E-2</v>
      </c>
      <c r="F84" s="114">
        <v>20826.329703802479</v>
      </c>
      <c r="G84" s="114">
        <v>0.10806904422800787</v>
      </c>
      <c r="H84" s="114">
        <v>20826.329703802479</v>
      </c>
      <c r="I84" s="114">
        <v>0.10806904422800787</v>
      </c>
      <c r="J84" s="114">
        <v>86300.204907785694</v>
      </c>
      <c r="K84" s="114">
        <v>0.13983113782962003</v>
      </c>
      <c r="L84" s="114">
        <v>312.4441962324359</v>
      </c>
      <c r="M84" s="114"/>
      <c r="N84" s="163">
        <v>2.2173619389884198</v>
      </c>
      <c r="O84" s="163">
        <v>1.9104536645584662</v>
      </c>
      <c r="P84" s="324">
        <v>489.9534796974234</v>
      </c>
      <c r="Q84" s="114">
        <v>36.698883637409836</v>
      </c>
      <c r="R84" s="114">
        <v>417739.61337765813</v>
      </c>
      <c r="S84" s="114">
        <v>2.8717801679410022</v>
      </c>
      <c r="T84" s="114">
        <v>344.9244009419296</v>
      </c>
      <c r="U84" s="114">
        <v>43.913624859758983</v>
      </c>
      <c r="V84" s="114">
        <v>423.62892504881</v>
      </c>
      <c r="W84" s="114">
        <v>27.688786792235852</v>
      </c>
      <c r="X84" s="114">
        <v>1838364.6304067003</v>
      </c>
      <c r="Y84" s="114">
        <v>3.0253990826588937</v>
      </c>
      <c r="Z84" s="114">
        <v>3.3653432910688252</v>
      </c>
      <c r="AA84" s="114">
        <v>6122.4564793867667</v>
      </c>
      <c r="AB84" s="114">
        <v>378395.76877182763</v>
      </c>
      <c r="AC84" s="114">
        <v>3.1669370572551299</v>
      </c>
      <c r="AD84" s="114">
        <v>1752061.0601556243</v>
      </c>
      <c r="AE84" s="114">
        <v>3.1727341475427151</v>
      </c>
      <c r="AF84" s="382">
        <v>4.6242569444014112</v>
      </c>
      <c r="AG84" s="163">
        <v>3.925137794976627E-2</v>
      </c>
      <c r="AH84" s="436">
        <v>4.6294669972050011</v>
      </c>
      <c r="AI84" s="434">
        <v>5.5542287643593737E-2</v>
      </c>
      <c r="AJ84" s="21">
        <v>0</v>
      </c>
      <c r="AL84" s="21">
        <v>0</v>
      </c>
    </row>
    <row r="85" spans="1:38" s="21" customFormat="1" x14ac:dyDescent="0.15">
      <c r="A85" s="113" t="s">
        <v>664</v>
      </c>
      <c r="B85" s="324">
        <v>23051.243498334978</v>
      </c>
      <c r="C85" s="114">
        <v>0.10349791038113711</v>
      </c>
      <c r="D85" s="114">
        <v>38894.337381133853</v>
      </c>
      <c r="E85" s="114">
        <v>8.1423095792739639E-2</v>
      </c>
      <c r="F85" s="114">
        <v>20858.185747326897</v>
      </c>
      <c r="G85" s="114">
        <v>0.10127043069578164</v>
      </c>
      <c r="H85" s="114">
        <v>20858.185747326897</v>
      </c>
      <c r="I85" s="114">
        <v>0.10127043069578164</v>
      </c>
      <c r="J85" s="114">
        <v>86685.080485113431</v>
      </c>
      <c r="K85" s="114">
        <v>0.14093722484774857</v>
      </c>
      <c r="L85" s="114">
        <v>244.46061213923588</v>
      </c>
      <c r="M85" s="114"/>
      <c r="N85" s="163">
        <v>2.2287326722054153</v>
      </c>
      <c r="O85" s="163">
        <v>1.9309582724799348</v>
      </c>
      <c r="P85" s="324">
        <v>326.47459369502377</v>
      </c>
      <c r="Q85" s="114">
        <v>53.856239586003426</v>
      </c>
      <c r="R85" s="114">
        <v>413786.57682001195</v>
      </c>
      <c r="S85" s="114">
        <v>3.2330323907505814</v>
      </c>
      <c r="T85" s="114">
        <v>243.37695237866268</v>
      </c>
      <c r="U85" s="114">
        <v>66.729891525035555</v>
      </c>
      <c r="V85" s="114">
        <v>288.47246267446047</v>
      </c>
      <c r="W85" s="114">
        <v>40.228013236388669</v>
      </c>
      <c r="X85" s="114">
        <v>1818756.8240934887</v>
      </c>
      <c r="Y85" s="114">
        <v>3.3980522988142861</v>
      </c>
      <c r="Z85" s="114">
        <v>423.43329792517068</v>
      </c>
      <c r="AA85" s="114">
        <v>47.128185755929721</v>
      </c>
      <c r="AB85" s="114">
        <v>374603.76697620371</v>
      </c>
      <c r="AC85" s="114">
        <v>3.5706724371552125</v>
      </c>
      <c r="AD85" s="114">
        <v>1731648.3103104504</v>
      </c>
      <c r="AE85" s="114">
        <v>3.5712573430009464</v>
      </c>
      <c r="AF85" s="382">
        <v>4.6181634588448004</v>
      </c>
      <c r="AG85" s="163">
        <v>4.0118647284235108E-2</v>
      </c>
      <c r="AH85" s="436">
        <v>4.6224307158076599</v>
      </c>
      <c r="AI85" s="434">
        <v>4.7064720527001884E-2</v>
      </c>
      <c r="AJ85" s="21">
        <v>0</v>
      </c>
      <c r="AL85" s="21">
        <v>0</v>
      </c>
    </row>
    <row r="86" spans="1:38" s="21" customFormat="1" x14ac:dyDescent="0.15">
      <c r="A86" s="113" t="s">
        <v>665</v>
      </c>
      <c r="B86" s="324">
        <v>23001.636416724283</v>
      </c>
      <c r="C86" s="114">
        <v>9.699419558049456E-2</v>
      </c>
      <c r="D86" s="114">
        <v>38880.245562487951</v>
      </c>
      <c r="E86" s="114">
        <v>7.5996681184751433E-2</v>
      </c>
      <c r="F86" s="114">
        <v>21068.796332895323</v>
      </c>
      <c r="G86" s="114">
        <v>0.11497472191567346</v>
      </c>
      <c r="H86" s="114">
        <v>21068.796332895323</v>
      </c>
      <c r="I86" s="114">
        <v>0.11497472191567346</v>
      </c>
      <c r="J86" s="114">
        <v>86217.772855279909</v>
      </c>
      <c r="K86" s="114">
        <v>0.13574255102307067</v>
      </c>
      <c r="L86" s="114">
        <v>219.97474197152962</v>
      </c>
      <c r="M86" s="114"/>
      <c r="N86" s="163">
        <v>2.2175213044040976</v>
      </c>
      <c r="O86" s="163">
        <v>1.9032553054014456</v>
      </c>
      <c r="P86" s="324">
        <v>314.59943514315893</v>
      </c>
      <c r="Q86" s="114">
        <v>61.856671358646608</v>
      </c>
      <c r="R86" s="114">
        <v>320857.31814740325</v>
      </c>
      <c r="S86" s="114">
        <v>4.2847083559859351</v>
      </c>
      <c r="T86" s="114">
        <v>176.97611698775765</v>
      </c>
      <c r="U86" s="114">
        <v>88.71247555480231</v>
      </c>
      <c r="V86" s="114">
        <v>251.66167559695035</v>
      </c>
      <c r="W86" s="114">
        <v>49.347825155181617</v>
      </c>
      <c r="X86" s="114">
        <v>1389341.4448218625</v>
      </c>
      <c r="Y86" s="114">
        <v>4.5708627846884964</v>
      </c>
      <c r="Z86" s="114">
        <v>366.67491789180883</v>
      </c>
      <c r="AA86" s="114">
        <v>65.204162661525103</v>
      </c>
      <c r="AB86" s="114">
        <v>281725.41090931837</v>
      </c>
      <c r="AC86" s="114">
        <v>4.8805882397692271</v>
      </c>
      <c r="AD86" s="114">
        <v>1302756.9970486918</v>
      </c>
      <c r="AE86" s="114">
        <v>4.8768733104282713</v>
      </c>
      <c r="AF86" s="382">
        <v>4.6213744948714384</v>
      </c>
      <c r="AG86" s="163">
        <v>7.3579104222640274E-2</v>
      </c>
      <c r="AH86" s="436">
        <v>4.6249265095905008</v>
      </c>
      <c r="AI86" s="434">
        <v>7.7308915042573256E-2</v>
      </c>
      <c r="AJ86" s="21">
        <v>0</v>
      </c>
      <c r="AL86" s="21">
        <v>0</v>
      </c>
    </row>
    <row r="87" spans="1:38" s="21" customFormat="1" x14ac:dyDescent="0.15">
      <c r="A87" s="113" t="s">
        <v>666</v>
      </c>
      <c r="B87" s="324">
        <v>23130.464948867495</v>
      </c>
      <c r="C87" s="114">
        <v>9.009838914192897E-2</v>
      </c>
      <c r="D87" s="114">
        <v>38923.681016510178</v>
      </c>
      <c r="E87" s="114">
        <v>7.0022225690259177E-2</v>
      </c>
      <c r="F87" s="114">
        <v>20773.964150166401</v>
      </c>
      <c r="G87" s="114">
        <v>0.10842105064318217</v>
      </c>
      <c r="H87" s="114">
        <v>20773.964150166401</v>
      </c>
      <c r="I87" s="114">
        <v>0.10842105064318217</v>
      </c>
      <c r="J87" s="114">
        <v>85789.610680193044</v>
      </c>
      <c r="K87" s="114">
        <v>0.10051585173226929</v>
      </c>
      <c r="L87" s="114">
        <v>238.87937137754389</v>
      </c>
      <c r="M87" s="114"/>
      <c r="N87" s="163">
        <v>2.2040466995863994</v>
      </c>
      <c r="O87" s="163">
        <v>1.8842193043914299</v>
      </c>
      <c r="P87" s="324">
        <v>244.14185281463151</v>
      </c>
      <c r="Q87" s="114">
        <v>70.418765590046121</v>
      </c>
      <c r="R87" s="114">
        <v>360173.45574435469</v>
      </c>
      <c r="S87" s="114">
        <v>2.7620144871333396</v>
      </c>
      <c r="T87" s="114">
        <v>287.18104609463649</v>
      </c>
      <c r="U87" s="114">
        <v>56.865383806364996</v>
      </c>
      <c r="V87" s="114">
        <v>263.82449405614733</v>
      </c>
      <c r="W87" s="114">
        <v>43.635743253925774</v>
      </c>
      <c r="X87" s="114">
        <v>1572027.809686068</v>
      </c>
      <c r="Y87" s="114">
        <v>2.9362653638809419</v>
      </c>
      <c r="Z87" s="114">
        <v>-108.9924895505757</v>
      </c>
      <c r="AA87" s="114">
        <v>-202.18311119216517</v>
      </c>
      <c r="AB87" s="114">
        <v>320985.95023378835</v>
      </c>
      <c r="AC87" s="114">
        <v>3.0999989426908958</v>
      </c>
      <c r="AD87" s="114">
        <v>1486347.1914954251</v>
      </c>
      <c r="AE87" s="114">
        <v>3.1091130246527978</v>
      </c>
      <c r="AF87" s="382">
        <v>4.6233484973233043</v>
      </c>
      <c r="AG87" s="163">
        <v>6.5163608683824842E-2</v>
      </c>
      <c r="AH87" s="436">
        <v>4.6297001256187418</v>
      </c>
      <c r="AI87" s="434">
        <v>7.3382161081347319E-2</v>
      </c>
      <c r="AJ87" s="21">
        <v>0</v>
      </c>
      <c r="AL87" s="21">
        <v>0</v>
      </c>
    </row>
    <row r="88" spans="1:38" s="21" customFormat="1" x14ac:dyDescent="0.15">
      <c r="A88" s="113" t="s">
        <v>667</v>
      </c>
      <c r="B88" s="324">
        <v>23066.632254638731</v>
      </c>
      <c r="C88" s="114">
        <v>0.11210537693965862</v>
      </c>
      <c r="D88" s="114">
        <v>38829.771186905447</v>
      </c>
      <c r="E88" s="114">
        <v>6.6272246419815675E-2</v>
      </c>
      <c r="F88" s="114">
        <v>20919.045026339187</v>
      </c>
      <c r="G88" s="114">
        <v>9.8920777822722739E-2</v>
      </c>
      <c r="H88" s="114">
        <v>20919.045026339187</v>
      </c>
      <c r="I88" s="114">
        <v>9.8920777822722739E-2</v>
      </c>
      <c r="J88" s="114">
        <v>86009.809666732079</v>
      </c>
      <c r="K88" s="114">
        <v>0.1161083026372398</v>
      </c>
      <c r="L88" s="114">
        <v>167.73883667753404</v>
      </c>
      <c r="M88" s="114"/>
      <c r="N88" s="163">
        <v>2.2150480684711615</v>
      </c>
      <c r="O88" s="163">
        <v>1.9020635913458432</v>
      </c>
      <c r="P88" s="324">
        <v>93.112031072733487</v>
      </c>
      <c r="Q88" s="114">
        <v>206.16983675533803</v>
      </c>
      <c r="R88" s="114">
        <v>351040.87831557106</v>
      </c>
      <c r="S88" s="114">
        <v>3.5839979388549352</v>
      </c>
      <c r="T88" s="114">
        <v>91.025414169696447</v>
      </c>
      <c r="U88" s="114">
        <v>147.94570724616253</v>
      </c>
      <c r="V88" s="114">
        <v>92.157781497380952</v>
      </c>
      <c r="W88" s="114">
        <v>134.84135260577904</v>
      </c>
      <c r="X88" s="114">
        <v>1529927.1319755518</v>
      </c>
      <c r="Y88" s="114">
        <v>3.8068447379397341</v>
      </c>
      <c r="Z88" s="114">
        <v>-180.03601266811003</v>
      </c>
      <c r="AA88" s="114">
        <v>-148.18859144154379</v>
      </c>
      <c r="AB88" s="114">
        <v>312118.94934716821</v>
      </c>
      <c r="AC88" s="114">
        <v>4.0295523400439244</v>
      </c>
      <c r="AD88" s="114">
        <v>1444097.3583214874</v>
      </c>
      <c r="AE88" s="114">
        <v>4.0348413800038818</v>
      </c>
      <c r="AF88" s="382">
        <v>4.6266386067226026</v>
      </c>
      <c r="AG88" s="163">
        <v>5.7564283651426268E-2</v>
      </c>
      <c r="AH88" s="436">
        <v>4.6259716277907463</v>
      </c>
      <c r="AI88" s="434">
        <v>5.4682698266918364E-2</v>
      </c>
      <c r="AJ88" s="21">
        <v>0</v>
      </c>
      <c r="AL88" s="21">
        <v>0</v>
      </c>
    </row>
    <row r="89" spans="1:38" s="21" customFormat="1" x14ac:dyDescent="0.15">
      <c r="A89" s="113" t="s">
        <v>668</v>
      </c>
      <c r="B89" s="324">
        <v>22934.227877137244</v>
      </c>
      <c r="C89" s="114">
        <v>0.1026799388641121</v>
      </c>
      <c r="D89" s="114">
        <v>38780.043570357055</v>
      </c>
      <c r="E89" s="114">
        <v>6.8112372326627979E-2</v>
      </c>
      <c r="F89" s="114">
        <v>20889.123918215701</v>
      </c>
      <c r="G89" s="114">
        <v>9.915818721427766E-2</v>
      </c>
      <c r="H89" s="114">
        <v>20889.123918215701</v>
      </c>
      <c r="I89" s="114">
        <v>9.915818721427766E-2</v>
      </c>
      <c r="J89" s="114">
        <v>85947.792738451564</v>
      </c>
      <c r="K89" s="114">
        <v>8.3879209885902931E-2</v>
      </c>
      <c r="L89" s="114">
        <v>191.74843164480089</v>
      </c>
      <c r="M89" s="114"/>
      <c r="N89" s="163">
        <v>2.2162892257333331</v>
      </c>
      <c r="O89" s="163">
        <v>1.9059166742910731</v>
      </c>
      <c r="P89" s="324">
        <v>107.16222205095974</v>
      </c>
      <c r="Q89" s="114">
        <v>141.33681567158573</v>
      </c>
      <c r="R89" s="114">
        <v>294981.14439587062</v>
      </c>
      <c r="S89" s="114">
        <v>3.061092226571323</v>
      </c>
      <c r="T89" s="114">
        <v>105.73479250508443</v>
      </c>
      <c r="U89" s="114">
        <v>135.88396583420712</v>
      </c>
      <c r="V89" s="114">
        <v>106.50943138487507</v>
      </c>
      <c r="W89" s="114">
        <v>101.94243218329881</v>
      </c>
      <c r="X89" s="114">
        <v>1270073.7953542869</v>
      </c>
      <c r="Y89" s="114">
        <v>3.2972495377777209</v>
      </c>
      <c r="Z89" s="114">
        <v>365.63705655864811</v>
      </c>
      <c r="AA89" s="114">
        <v>59.742875807568133</v>
      </c>
      <c r="AB89" s="114">
        <v>256094.59139412854</v>
      </c>
      <c r="AC89" s="114">
        <v>3.5222677708427002</v>
      </c>
      <c r="AD89" s="114">
        <v>1183760.3655592767</v>
      </c>
      <c r="AE89" s="114">
        <v>3.5389340775991598</v>
      </c>
      <c r="AF89" s="382">
        <v>4.6198919482378722</v>
      </c>
      <c r="AG89" s="163">
        <v>7.0920491949545875E-2</v>
      </c>
      <c r="AH89" s="436">
        <v>4.6190248966916538</v>
      </c>
      <c r="AI89" s="434">
        <v>9.1408730476609024E-2</v>
      </c>
      <c r="AJ89" s="21">
        <v>0</v>
      </c>
      <c r="AL89" s="21">
        <v>0</v>
      </c>
    </row>
    <row r="90" spans="1:38" s="21" customFormat="1" x14ac:dyDescent="0.15">
      <c r="A90" s="113" t="s">
        <v>669</v>
      </c>
      <c r="B90" s="324">
        <v>22801.987646664973</v>
      </c>
      <c r="C90" s="114">
        <v>9.4585168033084338E-2</v>
      </c>
      <c r="D90" s="114">
        <v>38643.456959233648</v>
      </c>
      <c r="E90" s="114">
        <v>5.8298299852760013E-2</v>
      </c>
      <c r="F90" s="114">
        <v>20659.299467226647</v>
      </c>
      <c r="G90" s="114">
        <v>9.5868647276902447E-2</v>
      </c>
      <c r="H90" s="114">
        <v>20659.299467226647</v>
      </c>
      <c r="I90" s="114">
        <v>9.5868647276902447E-2</v>
      </c>
      <c r="J90" s="114">
        <v>85513.577190776879</v>
      </c>
      <c r="K90" s="114">
        <v>8.7068768779985414E-2</v>
      </c>
      <c r="L90" s="114">
        <v>439.93484473858456</v>
      </c>
      <c r="M90" s="114"/>
      <c r="N90" s="163">
        <v>2.2128863181414693</v>
      </c>
      <c r="O90" s="163">
        <v>1.9303199212334374</v>
      </c>
      <c r="P90" s="324">
        <v>472.04456060942732</v>
      </c>
      <c r="Q90" s="114">
        <v>41.7929802131017</v>
      </c>
      <c r="R90" s="114">
        <v>343508.044565661</v>
      </c>
      <c r="S90" s="114">
        <v>3.0220250447346726</v>
      </c>
      <c r="T90" s="114">
        <v>254.00681446036742</v>
      </c>
      <c r="U90" s="114">
        <v>67.697798923295565</v>
      </c>
      <c r="V90" s="114">
        <v>372.33175450173491</v>
      </c>
      <c r="W90" s="114">
        <v>34.078784942418238</v>
      </c>
      <c r="X90" s="114">
        <v>1495246.0139419937</v>
      </c>
      <c r="Y90" s="114">
        <v>3.21035629937436</v>
      </c>
      <c r="Z90" s="114">
        <v>515.37153253716383</v>
      </c>
      <c r="AA90" s="114">
        <v>39.656020705194571</v>
      </c>
      <c r="AB90" s="114">
        <v>304492.25585192558</v>
      </c>
      <c r="AC90" s="114">
        <v>3.4090451035269425</v>
      </c>
      <c r="AD90" s="114">
        <v>1409217.0652186794</v>
      </c>
      <c r="AE90" s="114">
        <v>3.4077151190733885</v>
      </c>
      <c r="AF90" s="382">
        <v>4.6226824498299033</v>
      </c>
      <c r="AG90" s="163">
        <v>5.2855561395288464E-2</v>
      </c>
      <c r="AH90" s="436">
        <v>4.6284153959385135</v>
      </c>
      <c r="AI90" s="434">
        <v>7.8409308581349382E-2</v>
      </c>
      <c r="AJ90" s="21">
        <v>0</v>
      </c>
      <c r="AL90" s="21">
        <v>0</v>
      </c>
    </row>
    <row r="91" spans="1:38" s="21" customFormat="1" x14ac:dyDescent="0.15">
      <c r="A91" s="113" t="s">
        <v>670</v>
      </c>
      <c r="B91" s="324">
        <v>22795.431584451675</v>
      </c>
      <c r="C91" s="114">
        <v>0.10627048962992078</v>
      </c>
      <c r="D91" s="114">
        <v>38496.064594435957</v>
      </c>
      <c r="E91" s="114">
        <v>7.6366045316316661E-2</v>
      </c>
      <c r="F91" s="114">
        <v>20721.429005832484</v>
      </c>
      <c r="G91" s="114">
        <v>9.2582677989217044E-2</v>
      </c>
      <c r="H91" s="114">
        <v>20721.429005832484</v>
      </c>
      <c r="I91" s="114">
        <v>9.2582677989217044E-2</v>
      </c>
      <c r="J91" s="114">
        <v>85971.030735395558</v>
      </c>
      <c r="K91" s="114">
        <v>0.1261935416972903</v>
      </c>
      <c r="L91" s="114">
        <v>487.19725622276951</v>
      </c>
      <c r="M91" s="114"/>
      <c r="N91" s="163">
        <v>2.2332420636010002</v>
      </c>
      <c r="O91" s="163">
        <v>1.943415792322392</v>
      </c>
      <c r="P91" s="324">
        <v>429.95939695491791</v>
      </c>
      <c r="Q91" s="114">
        <v>46.527413714209075</v>
      </c>
      <c r="R91" s="114">
        <v>336674.31381842791</v>
      </c>
      <c r="S91" s="114">
        <v>3.1280402131250349</v>
      </c>
      <c r="T91" s="114">
        <v>454.92687823591365</v>
      </c>
      <c r="U91" s="114">
        <v>39.911650340225918</v>
      </c>
      <c r="V91" s="114">
        <v>441.3775007646471</v>
      </c>
      <c r="W91" s="114">
        <v>29.872911610502957</v>
      </c>
      <c r="X91" s="114">
        <v>1462653.9990917454</v>
      </c>
      <c r="Y91" s="114">
        <v>3.3267732136151729</v>
      </c>
      <c r="Z91" s="114">
        <v>621.84887582896511</v>
      </c>
      <c r="AA91" s="114">
        <v>39.580203551683944</v>
      </c>
      <c r="AB91" s="114">
        <v>297736.87172322726</v>
      </c>
      <c r="AC91" s="114">
        <v>3.5448605644866764</v>
      </c>
      <c r="AD91" s="114">
        <v>1376061.1194805212</v>
      </c>
      <c r="AE91" s="114">
        <v>3.5332345949931123</v>
      </c>
      <c r="AF91" s="382">
        <v>4.6119324735354947</v>
      </c>
      <c r="AG91" s="163">
        <v>6.5921722282885842E-2</v>
      </c>
      <c r="AH91" s="436">
        <v>4.6236999167921944</v>
      </c>
      <c r="AI91" s="434">
        <v>7.3548830248808705E-2</v>
      </c>
      <c r="AJ91" s="21">
        <v>0</v>
      </c>
      <c r="AL91" s="21">
        <v>0</v>
      </c>
    </row>
    <row r="92" spans="1:38" s="21" customFormat="1" x14ac:dyDescent="0.15">
      <c r="A92" s="113" t="s">
        <v>930</v>
      </c>
      <c r="B92" s="324">
        <v>22790.404733894153</v>
      </c>
      <c r="C92" s="114">
        <v>9.0707942420507712E-2</v>
      </c>
      <c r="D92" s="114">
        <v>38622.693802524926</v>
      </c>
      <c r="E92" s="114">
        <v>5.7043808191390981E-2</v>
      </c>
      <c r="F92" s="114">
        <v>20674.90626693052</v>
      </c>
      <c r="G92" s="114">
        <v>0.10199248851870429</v>
      </c>
      <c r="H92" s="114">
        <v>20674.90626693052</v>
      </c>
      <c r="I92" s="114">
        <v>0.10199248851870429</v>
      </c>
      <c r="J92" s="114">
        <v>85563.147599359057</v>
      </c>
      <c r="K92" s="114">
        <v>8.3836984751417792E-2</v>
      </c>
      <c r="L92" s="114">
        <v>437.77740544995169</v>
      </c>
      <c r="M92" s="114"/>
      <c r="N92" s="163">
        <v>2.2153593956143327</v>
      </c>
      <c r="O92" s="163">
        <v>1.9114588233430807</v>
      </c>
      <c r="P92" s="324">
        <v>494.47218661670894</v>
      </c>
      <c r="Q92" s="114">
        <v>38.211534912091658</v>
      </c>
      <c r="R92" s="114">
        <v>295110.47975835111</v>
      </c>
      <c r="S92" s="114">
        <v>4.8119303694307467</v>
      </c>
      <c r="T92" s="114">
        <v>333.423530285021</v>
      </c>
      <c r="U92" s="114">
        <v>52.225111200978716</v>
      </c>
      <c r="V92" s="114">
        <v>420.82157461796032</v>
      </c>
      <c r="W92" s="114">
        <v>31.520233632184222</v>
      </c>
      <c r="X92" s="114">
        <v>1269291.3344799727</v>
      </c>
      <c r="Y92" s="114">
        <v>5.162282743429893</v>
      </c>
      <c r="Z92" s="114">
        <v>110.01663814744064</v>
      </c>
      <c r="AA92" s="114">
        <v>227.57100270143715</v>
      </c>
      <c r="AB92" s="114">
        <v>256066.96438120818</v>
      </c>
      <c r="AC92" s="114">
        <v>5.5442124062532061</v>
      </c>
      <c r="AD92" s="114">
        <v>1183618.170242466</v>
      </c>
      <c r="AE92" s="114">
        <v>5.5407850109594428</v>
      </c>
      <c r="AF92" s="382">
        <v>4.6093184222565613</v>
      </c>
      <c r="AG92" s="163">
        <v>7.8579808591938888E-2</v>
      </c>
      <c r="AH92" s="436">
        <v>4.6230336953258311</v>
      </c>
      <c r="AI92" s="434">
        <v>8.5684105165882568E-2</v>
      </c>
      <c r="AJ92" s="21">
        <v>0</v>
      </c>
      <c r="AL92" s="21">
        <v>0</v>
      </c>
    </row>
    <row r="93" spans="1:38" s="21" customFormat="1" x14ac:dyDescent="0.15">
      <c r="A93" s="113" t="s">
        <v>671</v>
      </c>
      <c r="B93" s="324">
        <v>22717.674220833538</v>
      </c>
      <c r="C93" s="114">
        <v>0.10576522242537305</v>
      </c>
      <c r="D93" s="114">
        <v>38633.79400277033</v>
      </c>
      <c r="E93" s="114">
        <v>9.0346762006953948E-2</v>
      </c>
      <c r="F93" s="114">
        <v>20684.573344925873</v>
      </c>
      <c r="G93" s="114">
        <v>0.10434007181885234</v>
      </c>
      <c r="H93" s="114">
        <v>20684.573344925873</v>
      </c>
      <c r="I93" s="114">
        <v>0.10434007181885234</v>
      </c>
      <c r="J93" s="114">
        <v>86020.444537791249</v>
      </c>
      <c r="K93" s="114">
        <v>0.15857403786492608</v>
      </c>
      <c r="L93" s="114">
        <v>252.33785279066311</v>
      </c>
      <c r="M93" s="114"/>
      <c r="N93" s="163">
        <v>2.2265595900734714</v>
      </c>
      <c r="O93" s="163">
        <v>1.9060640713772292</v>
      </c>
      <c r="P93" s="324">
        <v>342.87234184579785</v>
      </c>
      <c r="Q93" s="114">
        <v>50.13023560419439</v>
      </c>
      <c r="R93" s="114">
        <v>354400.42228689615</v>
      </c>
      <c r="S93" s="114">
        <v>4.0313723813020994</v>
      </c>
      <c r="T93" s="114">
        <v>201.47649100365402</v>
      </c>
      <c r="U93" s="114">
        <v>80.726707653637277</v>
      </c>
      <c r="V93" s="114">
        <v>278.20933138789195</v>
      </c>
      <c r="W93" s="114">
        <v>46.047588813017974</v>
      </c>
      <c r="X93" s="114">
        <v>1541097.2549741212</v>
      </c>
      <c r="Y93" s="114">
        <v>4.2824579283860054</v>
      </c>
      <c r="Z93" s="114">
        <v>-636.34468467898319</v>
      </c>
      <c r="AA93" s="114">
        <v>-41.166743051670501</v>
      </c>
      <c r="AB93" s="114">
        <v>315488.41895273793</v>
      </c>
      <c r="AC93" s="114">
        <v>4.5346050047559583</v>
      </c>
      <c r="AD93" s="114">
        <v>1455713.1551210089</v>
      </c>
      <c r="AE93" s="114">
        <v>4.5384275788636899</v>
      </c>
      <c r="AF93" s="382">
        <v>4.6109408060418291</v>
      </c>
      <c r="AG93" s="163">
        <v>6.2892843990214831E-2</v>
      </c>
      <c r="AH93" s="436">
        <v>4.6138901617359327</v>
      </c>
      <c r="AI93" s="434">
        <v>7.0628871014628419E-2</v>
      </c>
      <c r="AJ93" s="21">
        <v>0</v>
      </c>
      <c r="AL93" s="21">
        <v>0</v>
      </c>
    </row>
    <row r="94" spans="1:38" s="21" customFormat="1" x14ac:dyDescent="0.15">
      <c r="A94" s="113" t="s">
        <v>672</v>
      </c>
      <c r="B94" s="324">
        <v>23055.571150221564</v>
      </c>
      <c r="C94" s="114">
        <v>0.10237529226254823</v>
      </c>
      <c r="D94" s="114">
        <v>38641.040568943376</v>
      </c>
      <c r="E94" s="114">
        <v>7.3418220489110064E-2</v>
      </c>
      <c r="F94" s="114">
        <v>20849.155304796946</v>
      </c>
      <c r="G94" s="114">
        <v>9.604940307472952E-2</v>
      </c>
      <c r="H94" s="114">
        <v>20849.155304796946</v>
      </c>
      <c r="I94" s="114">
        <v>9.604940307472952E-2</v>
      </c>
      <c r="J94" s="114">
        <v>85775.871348623274</v>
      </c>
      <c r="K94" s="114">
        <v>0.12342056153395624</v>
      </c>
      <c r="L94" s="114">
        <v>38.814126840085237</v>
      </c>
      <c r="M94" s="114"/>
      <c r="N94" s="163">
        <v>2.2198126677148329</v>
      </c>
      <c r="O94" s="163">
        <v>1.8765565097544175</v>
      </c>
      <c r="P94" s="324">
        <v>180.77795703256274</v>
      </c>
      <c r="Q94" s="114">
        <v>97.982744344751666</v>
      </c>
      <c r="R94" s="114">
        <v>357706.76914527128</v>
      </c>
      <c r="S94" s="114">
        <v>3.7374113816604977</v>
      </c>
      <c r="T94" s="114">
        <v>-186.37970761818858</v>
      </c>
      <c r="U94" s="114">
        <v>-80.234807591576768</v>
      </c>
      <c r="V94" s="114">
        <v>12.869777495405115</v>
      </c>
      <c r="W94" s="114">
        <v>767.11203357183535</v>
      </c>
      <c r="X94" s="114">
        <v>1557129.1151242403</v>
      </c>
      <c r="Y94" s="114">
        <v>3.967168315613558</v>
      </c>
      <c r="Z94" s="114">
        <v>-561.86038001755128</v>
      </c>
      <c r="AA94" s="114">
        <v>-37.087064765941079</v>
      </c>
      <c r="AB94" s="114">
        <v>319052.85879883246</v>
      </c>
      <c r="AC94" s="114">
        <v>4.1936445553012351</v>
      </c>
      <c r="AD94" s="114">
        <v>1471915.104155635</v>
      </c>
      <c r="AE94" s="114">
        <v>4.1976483483827582</v>
      </c>
      <c r="AF94" s="382">
        <v>4.6133462491685266</v>
      </c>
      <c r="AG94" s="163">
        <v>5.5287350027034082E-2</v>
      </c>
      <c r="AH94" s="436">
        <v>4.6128929408255459</v>
      </c>
      <c r="AI94" s="434">
        <v>6.0594418900089174E-2</v>
      </c>
      <c r="AJ94" s="21">
        <v>0</v>
      </c>
      <c r="AL94" s="21">
        <v>0</v>
      </c>
    </row>
    <row r="95" spans="1:38" s="21" customFormat="1" x14ac:dyDescent="0.15">
      <c r="A95" s="113" t="s">
        <v>673</v>
      </c>
      <c r="B95" s="324">
        <v>22785.884394337292</v>
      </c>
      <c r="C95" s="114">
        <v>0.10076352035068996</v>
      </c>
      <c r="D95" s="114">
        <v>38520.983483900127</v>
      </c>
      <c r="E95" s="114">
        <v>6.4796100329937517E-2</v>
      </c>
      <c r="F95" s="114">
        <v>20666.531177079625</v>
      </c>
      <c r="G95" s="114">
        <v>0.1117503384325737</v>
      </c>
      <c r="H95" s="114">
        <v>20666.531177079625</v>
      </c>
      <c r="I95" s="114">
        <v>0.1117503384325737</v>
      </c>
      <c r="J95" s="114">
        <v>85471.687070590095</v>
      </c>
      <c r="K95" s="114">
        <v>9.2577312606617335E-2</v>
      </c>
      <c r="L95" s="114">
        <v>380.29877951965545</v>
      </c>
      <c r="M95" s="114"/>
      <c r="N95" s="163">
        <v>2.2188344985094437</v>
      </c>
      <c r="O95" s="163">
        <v>1.9137142210142546</v>
      </c>
      <c r="P95" s="324">
        <v>479.28615436616445</v>
      </c>
      <c r="Q95" s="114">
        <v>42.205655537145603</v>
      </c>
      <c r="R95" s="114">
        <v>257939.81689357263</v>
      </c>
      <c r="S95" s="114">
        <v>2.9028844913921423</v>
      </c>
      <c r="T95" s="114">
        <v>250.699031828156</v>
      </c>
      <c r="U95" s="114">
        <v>65.842624719602654</v>
      </c>
      <c r="V95" s="114">
        <v>374.74891789718396</v>
      </c>
      <c r="W95" s="114">
        <v>37.313017918634408</v>
      </c>
      <c r="X95" s="114">
        <v>1098203.2471109682</v>
      </c>
      <c r="Y95" s="114">
        <v>3.1709218294921895</v>
      </c>
      <c r="Z95" s="114">
        <v>-75.038674526653182</v>
      </c>
      <c r="AA95" s="114">
        <v>-263.99815993197609</v>
      </c>
      <c r="AB95" s="114">
        <v>219044.08449177511</v>
      </c>
      <c r="AC95" s="114">
        <v>3.42443478285099</v>
      </c>
      <c r="AD95" s="114">
        <v>1012806.5987149051</v>
      </c>
      <c r="AE95" s="114">
        <v>3.4375823496795341</v>
      </c>
      <c r="AF95" s="382">
        <v>4.6155596984009142</v>
      </c>
      <c r="AG95" s="163">
        <v>8.0001150526831821E-2</v>
      </c>
      <c r="AH95" s="436">
        <v>4.6223351987631442</v>
      </c>
      <c r="AI95" s="434">
        <v>9.1119736355512654E-2</v>
      </c>
      <c r="AJ95" s="21">
        <v>0</v>
      </c>
      <c r="AL95" s="21">
        <v>0</v>
      </c>
    </row>
    <row r="96" spans="1:38" s="21" customFormat="1" x14ac:dyDescent="0.15">
      <c r="A96" s="113" t="s">
        <v>674</v>
      </c>
      <c r="B96" s="324">
        <v>22890.660449216404</v>
      </c>
      <c r="C96" s="114">
        <v>9.305237908942296E-2</v>
      </c>
      <c r="D96" s="114">
        <v>38433.79516332753</v>
      </c>
      <c r="E96" s="114">
        <v>6.9046214043267759E-2</v>
      </c>
      <c r="F96" s="114">
        <v>20738.074618748073</v>
      </c>
      <c r="G96" s="114">
        <v>0.10200621128274066</v>
      </c>
      <c r="H96" s="114">
        <v>20738.074618748073</v>
      </c>
      <c r="I96" s="114">
        <v>0.10200621128274066</v>
      </c>
      <c r="J96" s="114">
        <v>85274.539143199116</v>
      </c>
      <c r="K96" s="114">
        <v>7.5527944982379372E-2</v>
      </c>
      <c r="L96" s="114">
        <v>101.69740682533576</v>
      </c>
      <c r="M96" s="114"/>
      <c r="N96" s="163">
        <v>2.2187384509080625</v>
      </c>
      <c r="O96" s="163">
        <v>1.9006361004782715</v>
      </c>
      <c r="P96" s="324">
        <v>53.311722957028771</v>
      </c>
      <c r="Q96" s="114">
        <v>384.17705597750859</v>
      </c>
      <c r="R96" s="114">
        <v>271272.91431295796</v>
      </c>
      <c r="S96" s="114">
        <v>5.2567166501516445</v>
      </c>
      <c r="T96" s="114">
        <v>94.029054006092338</v>
      </c>
      <c r="U96" s="114">
        <v>194.24255504307047</v>
      </c>
      <c r="V96" s="114">
        <v>71.932532462839688</v>
      </c>
      <c r="W96" s="114">
        <v>194.01369424110348</v>
      </c>
      <c r="X96" s="114">
        <v>1161128.8206569413</v>
      </c>
      <c r="Y96" s="114">
        <v>5.6836935646435069</v>
      </c>
      <c r="Z96" s="114">
        <v>147.95311456863078</v>
      </c>
      <c r="AA96" s="114">
        <v>173.75092623164798</v>
      </c>
      <c r="AB96" s="114">
        <v>232767.18661716755</v>
      </c>
      <c r="AC96" s="114">
        <v>6.1370933232904967</v>
      </c>
      <c r="AD96" s="114">
        <v>1075706.3283991737</v>
      </c>
      <c r="AE96" s="114">
        <v>6.1283678858049582</v>
      </c>
      <c r="AF96" s="382">
        <v>4.6219365569152195</v>
      </c>
      <c r="AG96" s="163">
        <v>7.4680060759879041E-2</v>
      </c>
      <c r="AH96" s="436">
        <v>4.6229130295501166</v>
      </c>
      <c r="AI96" s="434">
        <v>7.3163519786856007E-2</v>
      </c>
      <c r="AJ96" s="21">
        <v>0</v>
      </c>
      <c r="AL96" s="21">
        <v>0</v>
      </c>
    </row>
    <row r="97" spans="1:38" s="21" customFormat="1" x14ac:dyDescent="0.15">
      <c r="A97" s="113" t="s">
        <v>675</v>
      </c>
      <c r="B97" s="324">
        <v>22576.031582789354</v>
      </c>
      <c r="C97" s="114">
        <v>8.5486030068842506E-2</v>
      </c>
      <c r="D97" s="114">
        <v>38380.129006971671</v>
      </c>
      <c r="E97" s="114">
        <v>5.5156146257260633E-2</v>
      </c>
      <c r="F97" s="114">
        <v>20537.95739077908</v>
      </c>
      <c r="G97" s="114">
        <v>0.10391415778892961</v>
      </c>
      <c r="H97" s="114">
        <v>20537.95739077908</v>
      </c>
      <c r="I97" s="114">
        <v>0.10391415778892961</v>
      </c>
      <c r="J97" s="114">
        <v>85996.327883122533</v>
      </c>
      <c r="K97" s="114">
        <v>8.0698442597289879E-2</v>
      </c>
      <c r="L97" s="114">
        <v>-3.4491796880455272</v>
      </c>
      <c r="M97" s="114"/>
      <c r="N97" s="163">
        <v>2.2406471814490638</v>
      </c>
      <c r="O97" s="163">
        <v>1.9035481759025454</v>
      </c>
      <c r="P97" s="324">
        <v>-198.26126806178272</v>
      </c>
      <c r="Q97" s="114">
        <v>-82.8162441475978</v>
      </c>
      <c r="R97" s="114">
        <v>108998.7407567271</v>
      </c>
      <c r="S97" s="114">
        <v>1.1215185002889176</v>
      </c>
      <c r="T97" s="114">
        <v>276.81546554907345</v>
      </c>
      <c r="U97" s="114">
        <v>55.220309092216269</v>
      </c>
      <c r="V97" s="114">
        <v>19.000353200942094</v>
      </c>
      <c r="W97" s="114">
        <v>650.58472381112597</v>
      </c>
      <c r="X97" s="114">
        <v>411245.46778072999</v>
      </c>
      <c r="Y97" s="114">
        <v>1.3422517687897366</v>
      </c>
      <c r="Z97" s="114">
        <v>517.26955909131232</v>
      </c>
      <c r="AA97" s="114">
        <v>35.859681057522394</v>
      </c>
      <c r="AB97" s="114">
        <v>70599.611396554465</v>
      </c>
      <c r="AC97" s="114">
        <v>1.7393700165488111</v>
      </c>
      <c r="AD97" s="114">
        <v>324731.87033851602</v>
      </c>
      <c r="AE97" s="114">
        <v>1.6894791185750995</v>
      </c>
      <c r="AF97" s="382">
        <v>4.6000129244592234</v>
      </c>
      <c r="AG97" s="163">
        <v>0.22225076504821725</v>
      </c>
      <c r="AH97" s="436">
        <v>4.6043398781424969</v>
      </c>
      <c r="AI97" s="434">
        <v>0.29262377177550181</v>
      </c>
      <c r="AJ97" s="21">
        <v>0</v>
      </c>
      <c r="AL97" s="21">
        <v>0</v>
      </c>
    </row>
    <row r="98" spans="1:38" s="21" customFormat="1" x14ac:dyDescent="0.15">
      <c r="A98" s="113" t="s">
        <v>676</v>
      </c>
      <c r="B98" s="324">
        <v>22460.975413288099</v>
      </c>
      <c r="C98" s="114">
        <v>0.10175535777448892</v>
      </c>
      <c r="D98" s="114">
        <v>38155.841585486211</v>
      </c>
      <c r="E98" s="114">
        <v>6.4334805184941002E-2</v>
      </c>
      <c r="F98" s="114">
        <v>20513.034946440388</v>
      </c>
      <c r="G98" s="114">
        <v>0.1039524841216173</v>
      </c>
      <c r="H98" s="114">
        <v>20513.034946440388</v>
      </c>
      <c r="I98" s="114">
        <v>0.1039524841216173</v>
      </c>
      <c r="J98" s="114">
        <v>84898.545136163651</v>
      </c>
      <c r="K98" s="114">
        <v>9.6654936261665325E-2</v>
      </c>
      <c r="L98" s="114">
        <v>-69.3966145701946</v>
      </c>
      <c r="M98" s="114"/>
      <c r="N98" s="163">
        <v>2.2250471122738258</v>
      </c>
      <c r="O98" s="163">
        <v>1.9080908804082886</v>
      </c>
      <c r="P98" s="324">
        <v>-64.705430318903737</v>
      </c>
      <c r="Q98" s="114">
        <v>-297.98552964655369</v>
      </c>
      <c r="R98" s="114">
        <v>110893.54363439881</v>
      </c>
      <c r="S98" s="114">
        <v>0.64548250197864587</v>
      </c>
      <c r="T98" s="114">
        <v>48.75664426773325</v>
      </c>
      <c r="U98" s="114">
        <v>300.69225171411711</v>
      </c>
      <c r="V98" s="114">
        <v>-12.817066750426003</v>
      </c>
      <c r="W98" s="114">
        <v>-985.02709066485454</v>
      </c>
      <c r="X98" s="114">
        <v>421069.76064613083</v>
      </c>
      <c r="Y98" s="114">
        <v>0.77266052109031802</v>
      </c>
      <c r="Z98" s="114">
        <v>479.33370515612063</v>
      </c>
      <c r="AA98" s="114">
        <v>56.921256021454894</v>
      </c>
      <c r="AB98" s="114">
        <v>72750.519115663032</v>
      </c>
      <c r="AC98" s="114">
        <v>0.98646001085061286</v>
      </c>
      <c r="AD98" s="114">
        <v>335691.8818048113</v>
      </c>
      <c r="AE98" s="114">
        <v>0.96615069005737186</v>
      </c>
      <c r="AF98" s="382">
        <v>4.6040657033015844</v>
      </c>
      <c r="AG98" s="163">
        <v>0.21851757270039235</v>
      </c>
      <c r="AH98" s="436">
        <v>4.616889222074831</v>
      </c>
      <c r="AI98" s="434">
        <v>0.29303230631197863</v>
      </c>
      <c r="AJ98" s="21">
        <v>0</v>
      </c>
      <c r="AL98" s="21">
        <v>0</v>
      </c>
    </row>
    <row r="99" spans="1:38" s="21" customFormat="1" x14ac:dyDescent="0.15">
      <c r="A99" s="113" t="s">
        <v>677</v>
      </c>
      <c r="B99" s="324">
        <v>22381.586515422572</v>
      </c>
      <c r="C99" s="114">
        <v>0.10027737124027784</v>
      </c>
      <c r="D99" s="114">
        <v>37616.351655060367</v>
      </c>
      <c r="E99" s="114">
        <v>7.5790382205337001E-2</v>
      </c>
      <c r="F99" s="114">
        <v>20366.145907985243</v>
      </c>
      <c r="G99" s="114">
        <v>9.9711225875129678E-2</v>
      </c>
      <c r="H99" s="114">
        <v>20366.145907985243</v>
      </c>
      <c r="I99" s="114">
        <v>9.9711225875129678E-2</v>
      </c>
      <c r="J99" s="114">
        <v>83571.111778954801</v>
      </c>
      <c r="K99" s="114">
        <v>9.0225907482347309E-2</v>
      </c>
      <c r="L99" s="114">
        <v>-20.092023649281266</v>
      </c>
      <c r="M99" s="114"/>
      <c r="N99" s="163">
        <v>2.2216697819420861</v>
      </c>
      <c r="O99" s="163">
        <v>1.8994639427515316</v>
      </c>
      <c r="P99" s="324">
        <v>-87.817581877365484</v>
      </c>
      <c r="Q99" s="114">
        <v>-203.91982633730581</v>
      </c>
      <c r="R99" s="114">
        <v>116770.65398071763</v>
      </c>
      <c r="S99" s="114">
        <v>1.0582859838571741</v>
      </c>
      <c r="T99" s="114">
        <v>195.44661815458261</v>
      </c>
      <c r="U99" s="114">
        <v>81.968934477509023</v>
      </c>
      <c r="V99" s="114">
        <v>41.724521514800081</v>
      </c>
      <c r="W99" s="114">
        <v>314.20571269108501</v>
      </c>
      <c r="X99" s="114">
        <v>447284.91440323432</v>
      </c>
      <c r="Y99" s="114">
        <v>1.2653817471966835</v>
      </c>
      <c r="Z99" s="114">
        <v>211.75391764504354</v>
      </c>
      <c r="AA99" s="114">
        <v>110.73649055045814</v>
      </c>
      <c r="AB99" s="114">
        <v>79112.577804142507</v>
      </c>
      <c r="AC99" s="114">
        <v>1.5502060089354446</v>
      </c>
      <c r="AD99" s="114">
        <v>363502.04870663432</v>
      </c>
      <c r="AE99" s="114">
        <v>1.5593611169826731</v>
      </c>
      <c r="AF99" s="382">
        <v>4.5799272847817774</v>
      </c>
      <c r="AG99" s="163">
        <v>0.17116782741865824</v>
      </c>
      <c r="AH99" s="436">
        <v>4.5952211420666167</v>
      </c>
      <c r="AI99" s="434">
        <v>0.20304142054806279</v>
      </c>
      <c r="AJ99" s="21">
        <v>0</v>
      </c>
      <c r="AL99" s="21">
        <v>0</v>
      </c>
    </row>
    <row r="100" spans="1:38" s="21" customFormat="1" x14ac:dyDescent="0.15">
      <c r="A100" s="113" t="s">
        <v>678</v>
      </c>
      <c r="B100" s="324">
        <v>22534.841706744832</v>
      </c>
      <c r="C100" s="114">
        <v>8.1502163083225804E-2</v>
      </c>
      <c r="D100" s="114">
        <v>37826.269094195239</v>
      </c>
      <c r="E100" s="114">
        <v>0.11452764269934448</v>
      </c>
      <c r="F100" s="114">
        <v>20550.166880048779</v>
      </c>
      <c r="G100" s="114">
        <v>9.1138745263838028E-2</v>
      </c>
      <c r="H100" s="114">
        <v>20550.166880048779</v>
      </c>
      <c r="I100" s="114">
        <v>9.1138745263838028E-2</v>
      </c>
      <c r="J100" s="114">
        <v>84341.350867496687</v>
      </c>
      <c r="K100" s="114">
        <v>0.18912206176060192</v>
      </c>
      <c r="L100" s="114">
        <v>-158.17822351747282</v>
      </c>
      <c r="M100" s="114"/>
      <c r="N100" s="163">
        <v>2.2297031371893765</v>
      </c>
      <c r="O100" s="163">
        <v>1.8828949171884588</v>
      </c>
      <c r="P100" s="324">
        <v>-137.88338777954846</v>
      </c>
      <c r="Q100" s="114">
        <v>-133.83615635556603</v>
      </c>
      <c r="R100" s="114">
        <v>108134.33769887708</v>
      </c>
      <c r="S100" s="114">
        <v>0.66686853129373291</v>
      </c>
      <c r="T100" s="114">
        <v>-73.010152411955517</v>
      </c>
      <c r="U100" s="114">
        <v>-249.99529920844483</v>
      </c>
      <c r="V100" s="114">
        <v>-108.21562403663572</v>
      </c>
      <c r="W100" s="114">
        <v>-105.53584111325256</v>
      </c>
      <c r="X100" s="114">
        <v>407410.72778175317</v>
      </c>
      <c r="Y100" s="114">
        <v>0.78966435403182744</v>
      </c>
      <c r="Z100" s="114">
        <v>-428.10591595264168</v>
      </c>
      <c r="AA100" s="114">
        <v>-56.811777244006343</v>
      </c>
      <c r="AB100" s="114">
        <v>70416.284228718461</v>
      </c>
      <c r="AC100" s="114">
        <v>1.0504823650506578</v>
      </c>
      <c r="AD100" s="114">
        <v>323497.48283020942</v>
      </c>
      <c r="AE100" s="114">
        <v>1.0009357084234241</v>
      </c>
      <c r="AF100" s="382">
        <v>4.5949533416613022</v>
      </c>
      <c r="AG100" s="163">
        <v>0.21456159156445381</v>
      </c>
      <c r="AH100" s="436">
        <v>4.5968842601260409</v>
      </c>
      <c r="AI100" s="434">
        <v>0.24110406211851834</v>
      </c>
      <c r="AJ100" s="21">
        <v>0</v>
      </c>
      <c r="AL100" s="21">
        <v>0</v>
      </c>
    </row>
    <row r="101" spans="1:38" s="21" customFormat="1" x14ac:dyDescent="0.15">
      <c r="A101" s="113" t="s">
        <v>679</v>
      </c>
      <c r="B101" s="324">
        <v>22306.414219732083</v>
      </c>
      <c r="C101" s="114">
        <v>9.8146504978601973E-2</v>
      </c>
      <c r="D101" s="114">
        <v>37488.897810246468</v>
      </c>
      <c r="E101" s="114">
        <v>7.1982945167644891E-2</v>
      </c>
      <c r="F101" s="114">
        <v>20465.653901129015</v>
      </c>
      <c r="G101" s="114">
        <v>0.10054570127494547</v>
      </c>
      <c r="H101" s="114">
        <v>20465.653901129015</v>
      </c>
      <c r="I101" s="114">
        <v>0.10054570127494547</v>
      </c>
      <c r="J101" s="114">
        <v>82413.515839557003</v>
      </c>
      <c r="K101" s="114">
        <v>9.5195775125479762E-2</v>
      </c>
      <c r="L101" s="114">
        <v>21.088980652383075</v>
      </c>
      <c r="M101" s="114"/>
      <c r="N101" s="163">
        <v>2.1983445940902464</v>
      </c>
      <c r="O101" s="163">
        <v>1.8792801247075726</v>
      </c>
      <c r="P101" s="324">
        <v>-233.23983920507536</v>
      </c>
      <c r="Q101" s="114">
        <v>-77.618521298489469</v>
      </c>
      <c r="R101" s="114">
        <v>108275.17335274101</v>
      </c>
      <c r="S101" s="114">
        <v>1.0191878350042591</v>
      </c>
      <c r="T101" s="114">
        <v>-69.120977292315246</v>
      </c>
      <c r="U101" s="114">
        <v>-249.4713923740469</v>
      </c>
      <c r="V101" s="114">
        <v>-158.18516383095658</v>
      </c>
      <c r="W101" s="114">
        <v>-79.188935270120595</v>
      </c>
      <c r="X101" s="114">
        <v>406506.03072877816</v>
      </c>
      <c r="Y101" s="114">
        <v>1.2135522020690421</v>
      </c>
      <c r="Z101" s="114">
        <v>1340.4197182851376</v>
      </c>
      <c r="AA101" s="114">
        <v>16.934175186762474</v>
      </c>
      <c r="AB101" s="114">
        <v>70944.460706325539</v>
      </c>
      <c r="AC101" s="114">
        <v>1.5810702882049892</v>
      </c>
      <c r="AD101" s="114">
        <v>322752.09517093585</v>
      </c>
      <c r="AE101" s="114">
        <v>1.5272305143858762</v>
      </c>
      <c r="AF101" s="382">
        <v>4.5740775643582259</v>
      </c>
      <c r="AG101" s="163">
        <v>0.21296059455946401</v>
      </c>
      <c r="AH101" s="436">
        <v>4.5531089929724855</v>
      </c>
      <c r="AI101" s="434">
        <v>0.24648543762199418</v>
      </c>
      <c r="AJ101" s="21">
        <v>0</v>
      </c>
      <c r="AL101" s="21">
        <v>0</v>
      </c>
    </row>
    <row r="102" spans="1:38" s="21" customFormat="1" x14ac:dyDescent="0.15">
      <c r="A102" s="113" t="s">
        <v>680</v>
      </c>
      <c r="B102" s="324">
        <v>22407.95529239572</v>
      </c>
      <c r="C102" s="114">
        <v>9.2753242713367809E-2</v>
      </c>
      <c r="D102" s="114">
        <v>37466.571053504565</v>
      </c>
      <c r="E102" s="114">
        <v>5.3304949060132924E-2</v>
      </c>
      <c r="F102" s="114">
        <v>20326.547324000152</v>
      </c>
      <c r="G102" s="114">
        <v>0.11391189750807329</v>
      </c>
      <c r="H102" s="114">
        <v>20326.547324000152</v>
      </c>
      <c r="I102" s="114">
        <v>0.11391189750807329</v>
      </c>
      <c r="J102" s="114">
        <v>82391.159546882671</v>
      </c>
      <c r="K102" s="114">
        <v>7.9618005453294352E-2</v>
      </c>
      <c r="L102" s="114">
        <v>-0.716446031291329</v>
      </c>
      <c r="M102" s="114"/>
      <c r="N102" s="163">
        <v>2.1990579129652148</v>
      </c>
      <c r="O102" s="163">
        <v>1.8592627565990874</v>
      </c>
      <c r="P102" s="324">
        <v>-65.326560765350735</v>
      </c>
      <c r="Q102" s="114">
        <v>-272.49308559765495</v>
      </c>
      <c r="R102" s="114">
        <v>101795.58194945127</v>
      </c>
      <c r="S102" s="114">
        <v>0.71130263178821684</v>
      </c>
      <c r="T102" s="114">
        <v>123.41565994782493</v>
      </c>
      <c r="U102" s="114">
        <v>143.43629844367121</v>
      </c>
      <c r="V102" s="114">
        <v>20.988844666523555</v>
      </c>
      <c r="W102" s="114">
        <v>618.90656059456785</v>
      </c>
      <c r="X102" s="114">
        <v>379113.24450703576</v>
      </c>
      <c r="Y102" s="114">
        <v>0.85645110745547215</v>
      </c>
      <c r="Z102" s="114">
        <v>845.84064146423668</v>
      </c>
      <c r="AA102" s="114">
        <v>25.499990276662022</v>
      </c>
      <c r="AB102" s="114">
        <v>64308.02205128019</v>
      </c>
      <c r="AC102" s="114">
        <v>1.1254627271119453</v>
      </c>
      <c r="AD102" s="114">
        <v>295876.24431868887</v>
      </c>
      <c r="AE102" s="114">
        <v>1.0928396604905342</v>
      </c>
      <c r="AF102" s="382">
        <v>4.5880966753284902</v>
      </c>
      <c r="AG102" s="163">
        <v>0.1989356236018803</v>
      </c>
      <c r="AH102" s="436">
        <v>4.6039806728499491</v>
      </c>
      <c r="AI102" s="434">
        <v>0.30504829725303045</v>
      </c>
      <c r="AJ102" s="21">
        <v>0</v>
      </c>
      <c r="AL102" s="21">
        <v>0</v>
      </c>
    </row>
    <row r="103" spans="1:38" s="21" customFormat="1" x14ac:dyDescent="0.15">
      <c r="A103" s="113" t="s">
        <v>681</v>
      </c>
      <c r="B103" s="324">
        <v>22379.684405840646</v>
      </c>
      <c r="C103" s="114">
        <v>8.7241467133516992E-2</v>
      </c>
      <c r="D103" s="114">
        <v>37289.943604668573</v>
      </c>
      <c r="E103" s="114">
        <v>8.4191795591265897E-2</v>
      </c>
      <c r="F103" s="114">
        <v>20390.073077245765</v>
      </c>
      <c r="G103" s="114">
        <v>9.4076681703014114E-2</v>
      </c>
      <c r="H103" s="114">
        <v>20390.073077245765</v>
      </c>
      <c r="I103" s="114">
        <v>9.4076681703014114E-2</v>
      </c>
      <c r="J103" s="114">
        <v>82482.311680411585</v>
      </c>
      <c r="K103" s="114">
        <v>0.10877595565632026</v>
      </c>
      <c r="L103" s="114">
        <v>-191.50842650750599</v>
      </c>
      <c r="M103" s="114"/>
      <c r="N103" s="163">
        <v>2.2119183808603315</v>
      </c>
      <c r="O103" s="163">
        <v>1.8806246726821929</v>
      </c>
      <c r="P103" s="324">
        <v>-369.1410708958191</v>
      </c>
      <c r="Q103" s="114">
        <v>-45.567253991067709</v>
      </c>
      <c r="R103" s="114">
        <v>120799.0591362811</v>
      </c>
      <c r="S103" s="114">
        <v>0.86038424597936181</v>
      </c>
      <c r="T103" s="114">
        <v>-239.08242023727468</v>
      </c>
      <c r="U103" s="114">
        <v>-69.048791865574415</v>
      </c>
      <c r="V103" s="114">
        <v>-309.66277759665013</v>
      </c>
      <c r="W103" s="114">
        <v>-39.548253108598487</v>
      </c>
      <c r="X103" s="114">
        <v>467613.10888316249</v>
      </c>
      <c r="Y103" s="114">
        <v>1.0111618340216002</v>
      </c>
      <c r="Z103" s="114">
        <v>76.74812633070394</v>
      </c>
      <c r="AA103" s="114">
        <v>294.51518860079011</v>
      </c>
      <c r="AB103" s="114">
        <v>83818.7783092092</v>
      </c>
      <c r="AC103" s="114">
        <v>1.2290886421693956</v>
      </c>
      <c r="AD103" s="114">
        <v>385054.04907641996</v>
      </c>
      <c r="AE103" s="114">
        <v>1.2274325813985594</v>
      </c>
      <c r="AF103" s="382">
        <v>4.6053283305376818</v>
      </c>
      <c r="AG103" s="163">
        <v>0.16367749086791519</v>
      </c>
      <c r="AH103" s="436">
        <v>4.5944080852620317</v>
      </c>
      <c r="AI103" s="434">
        <v>0.14486972833105702</v>
      </c>
      <c r="AJ103" s="21">
        <v>0</v>
      </c>
      <c r="AL103" s="21">
        <v>0</v>
      </c>
    </row>
    <row r="104" spans="1:38" s="21" customFormat="1" x14ac:dyDescent="0.15">
      <c r="A104" s="113" t="s">
        <v>682</v>
      </c>
      <c r="B104" s="324">
        <v>22318.147671987284</v>
      </c>
      <c r="C104" s="114">
        <v>9.8790225487287067E-2</v>
      </c>
      <c r="D104" s="114">
        <v>37392.008920981229</v>
      </c>
      <c r="E104" s="114">
        <v>7.9318694548848434E-2</v>
      </c>
      <c r="F104" s="114">
        <v>20333.819948547138</v>
      </c>
      <c r="G104" s="114">
        <v>8.6922357979260553E-2</v>
      </c>
      <c r="H104" s="114">
        <v>20333.819948547138</v>
      </c>
      <c r="I104" s="114">
        <v>8.6922357979260553E-2</v>
      </c>
      <c r="J104" s="114">
        <v>82201.052218229393</v>
      </c>
      <c r="K104" s="114">
        <v>0.12601459841152451</v>
      </c>
      <c r="L104" s="114">
        <v>-330.30409873548348</v>
      </c>
      <c r="M104" s="114"/>
      <c r="N104" s="163">
        <v>2.1983588095504847</v>
      </c>
      <c r="O104" s="163">
        <v>1.8556345764206477</v>
      </c>
      <c r="P104" s="324">
        <v>-520.37338909830021</v>
      </c>
      <c r="Q104" s="114">
        <v>-35.301726651570178</v>
      </c>
      <c r="R104" s="114">
        <v>107302.60063945418</v>
      </c>
      <c r="S104" s="114">
        <v>0.67535441800249341</v>
      </c>
      <c r="T104" s="114">
        <v>-406.15313171341126</v>
      </c>
      <c r="U104" s="114">
        <v>-36.150106752646977</v>
      </c>
      <c r="V104" s="114">
        <v>-468.13829412348792</v>
      </c>
      <c r="W104" s="114">
        <v>-25.285830414641687</v>
      </c>
      <c r="X104" s="114">
        <v>403510.40448411193</v>
      </c>
      <c r="Y104" s="114">
        <v>0.804718424991959</v>
      </c>
      <c r="Z104" s="114">
        <v>967.31239328452091</v>
      </c>
      <c r="AA104" s="114">
        <v>21.860149826788248</v>
      </c>
      <c r="AB104" s="114">
        <v>70378.730012596454</v>
      </c>
      <c r="AC104" s="114">
        <v>1.0155558678871799</v>
      </c>
      <c r="AD104" s="114">
        <v>320342.0398725979</v>
      </c>
      <c r="AE104" s="114">
        <v>1.0034842060498006</v>
      </c>
      <c r="AF104" s="382">
        <v>4.599458274349046</v>
      </c>
      <c r="AG104" s="163">
        <v>0.22257757785112833</v>
      </c>
      <c r="AH104" s="436">
        <v>4.5532288701194545</v>
      </c>
      <c r="AI104" s="434">
        <v>0.23720865137745611</v>
      </c>
      <c r="AJ104" s="21">
        <v>0</v>
      </c>
      <c r="AL104" s="21">
        <v>0</v>
      </c>
    </row>
    <row r="105" spans="1:38" s="21" customFormat="1" x14ac:dyDescent="0.15">
      <c r="A105" s="113" t="s">
        <v>683</v>
      </c>
      <c r="B105" s="324">
        <v>22314.97204479052</v>
      </c>
      <c r="C105" s="114">
        <v>0.10167598971939407</v>
      </c>
      <c r="D105" s="114">
        <v>37357.344950050079</v>
      </c>
      <c r="E105" s="114">
        <v>7.037922248166438E-2</v>
      </c>
      <c r="F105" s="114">
        <v>20345.735686706179</v>
      </c>
      <c r="G105" s="114">
        <v>9.626343428224704E-2</v>
      </c>
      <c r="H105" s="114">
        <v>20345.735686706179</v>
      </c>
      <c r="I105" s="114">
        <v>9.626343428224704E-2</v>
      </c>
      <c r="J105" s="114">
        <v>81677.670688364364</v>
      </c>
      <c r="K105" s="114">
        <v>0.10197162778468286</v>
      </c>
      <c r="L105" s="114">
        <v>-118.40477544279985</v>
      </c>
      <c r="M105" s="114"/>
      <c r="N105" s="163">
        <v>2.1863885347733971</v>
      </c>
      <c r="O105" s="163">
        <v>1.8682143952148798</v>
      </c>
      <c r="P105" s="324">
        <v>-112.9716230624947</v>
      </c>
      <c r="Q105" s="114">
        <v>-166.11201917338656</v>
      </c>
      <c r="R105" s="114">
        <v>105359.90189934977</v>
      </c>
      <c r="S105" s="114">
        <v>0.74779263692746267</v>
      </c>
      <c r="T105" s="114">
        <v>72.336529860060025</v>
      </c>
      <c r="U105" s="114">
        <v>210.02939640444507</v>
      </c>
      <c r="V105" s="114">
        <v>-28.226682111264854</v>
      </c>
      <c r="W105" s="114">
        <v>-417.73744369748528</v>
      </c>
      <c r="X105" s="114">
        <v>396077.61625402031</v>
      </c>
      <c r="Y105" s="114">
        <v>0.88390387650379676</v>
      </c>
      <c r="Z105" s="114">
        <v>226.31505949290133</v>
      </c>
      <c r="AA105" s="114">
        <v>130.32336827900622</v>
      </c>
      <c r="AB105" s="114">
        <v>68030.783631410974</v>
      </c>
      <c r="AC105" s="114">
        <v>1.1563786032503547</v>
      </c>
      <c r="AD105" s="114">
        <v>314173.63050616317</v>
      </c>
      <c r="AE105" s="114">
        <v>1.1322686502797641</v>
      </c>
      <c r="AF105" s="382">
        <v>4.6043981810609775</v>
      </c>
      <c r="AG105" s="163">
        <v>0.23512959483553994</v>
      </c>
      <c r="AH105" s="436">
        <v>4.6201776232626761</v>
      </c>
      <c r="AI105" s="434">
        <v>0.25748248221569292</v>
      </c>
      <c r="AJ105" s="21">
        <v>0</v>
      </c>
      <c r="AL105" s="21">
        <v>0</v>
      </c>
    </row>
    <row r="106" spans="1:38" s="21" customFormat="1" x14ac:dyDescent="0.15">
      <c r="A106" s="113" t="s">
        <v>684</v>
      </c>
      <c r="B106" s="324">
        <v>22416.130650779502</v>
      </c>
      <c r="C106" s="114">
        <v>9.1444675210671553E-2</v>
      </c>
      <c r="D106" s="114">
        <v>37171.733216275657</v>
      </c>
      <c r="E106" s="114">
        <v>6.7429905837506479E-2</v>
      </c>
      <c r="F106" s="114">
        <v>20488.555013441099</v>
      </c>
      <c r="G106" s="114">
        <v>8.4417981552711643E-2</v>
      </c>
      <c r="H106" s="114">
        <v>20488.555013441099</v>
      </c>
      <c r="I106" s="114">
        <v>8.4417981552711643E-2</v>
      </c>
      <c r="J106" s="114">
        <v>81604.72380036299</v>
      </c>
      <c r="K106" s="114">
        <v>0.11259651106536045</v>
      </c>
      <c r="L106" s="114">
        <v>-311.48125830467848</v>
      </c>
      <c r="M106" s="114"/>
      <c r="N106" s="163">
        <v>2.1953435242194286</v>
      </c>
      <c r="O106" s="163">
        <v>1.8406301336401849</v>
      </c>
      <c r="P106" s="324">
        <v>-319.50247697230327</v>
      </c>
      <c r="Q106" s="114">
        <v>-58.593504985101767</v>
      </c>
      <c r="R106" s="114">
        <v>109482.98755402811</v>
      </c>
      <c r="S106" s="114">
        <v>1.0894782353365882</v>
      </c>
      <c r="T106" s="114">
        <v>-321.64373805224301</v>
      </c>
      <c r="U106" s="114">
        <v>-51.672191876030723</v>
      </c>
      <c r="V106" s="114">
        <v>-320.48171636851316</v>
      </c>
      <c r="W106" s="114">
        <v>-39.884193178540137</v>
      </c>
      <c r="X106" s="114">
        <v>415888.55184435798</v>
      </c>
      <c r="Y106" s="114">
        <v>1.2988865983787878</v>
      </c>
      <c r="Z106" s="114">
        <v>-42.940715524050091</v>
      </c>
      <c r="AA106" s="114">
        <v>-759.72029605556031</v>
      </c>
      <c r="AB106" s="114">
        <v>72631.736054120993</v>
      </c>
      <c r="AC106" s="114">
        <v>1.6148843439825751</v>
      </c>
      <c r="AD106" s="114">
        <v>334326.76875951892</v>
      </c>
      <c r="AE106" s="114">
        <v>1.6088627050750852</v>
      </c>
      <c r="AF106" s="382">
        <v>4.6199891997277502</v>
      </c>
      <c r="AG106" s="163">
        <v>0.18071962614933895</v>
      </c>
      <c r="AH106" s="436">
        <v>4.6040320869720848</v>
      </c>
      <c r="AI106" s="434">
        <v>0.17450495712887379</v>
      </c>
      <c r="AJ106" s="21">
        <v>0</v>
      </c>
      <c r="AL106" s="21">
        <v>0</v>
      </c>
    </row>
    <row r="107" spans="1:38" s="21" customFormat="1" x14ac:dyDescent="0.15">
      <c r="A107" s="113" t="s">
        <v>685</v>
      </c>
      <c r="B107" s="324">
        <v>22372.806032621742</v>
      </c>
      <c r="C107" s="114">
        <v>0.10365520711622081</v>
      </c>
      <c r="D107" s="114">
        <v>37337.645264941035</v>
      </c>
      <c r="E107" s="114">
        <v>6.8258062245208889E-2</v>
      </c>
      <c r="F107" s="114">
        <v>20341.743434872118</v>
      </c>
      <c r="G107" s="114">
        <v>0.12342571032505179</v>
      </c>
      <c r="H107" s="114">
        <v>20341.743434872118</v>
      </c>
      <c r="I107" s="114">
        <v>0.12342571032505179</v>
      </c>
      <c r="J107" s="114">
        <v>81473.9480751511</v>
      </c>
      <c r="K107" s="114">
        <v>0.10011235722671954</v>
      </c>
      <c r="L107" s="114">
        <v>-155.29504741049672</v>
      </c>
      <c r="M107" s="114"/>
      <c r="N107" s="163">
        <v>2.1820858679498136</v>
      </c>
      <c r="O107" s="163">
        <v>1.8391401804799667</v>
      </c>
      <c r="P107" s="324">
        <v>-217.69861841542658</v>
      </c>
      <c r="Q107" s="114">
        <v>-75.352071865803012</v>
      </c>
      <c r="R107" s="114">
        <v>108847.28253573721</v>
      </c>
      <c r="S107" s="114">
        <v>0.77451343747983692</v>
      </c>
      <c r="T107" s="114">
        <v>-14.312406677754677</v>
      </c>
      <c r="U107" s="114">
        <v>-947.15386169139742</v>
      </c>
      <c r="V107" s="114">
        <v>-124.68623751275412</v>
      </c>
      <c r="W107" s="114">
        <v>-94.409507900371537</v>
      </c>
      <c r="X107" s="114">
        <v>412182.01409367769</v>
      </c>
      <c r="Y107" s="114">
        <v>0.90366338170247262</v>
      </c>
      <c r="Z107" s="114">
        <v>195.25547588830784</v>
      </c>
      <c r="AA107" s="114">
        <v>93.250718883362509</v>
      </c>
      <c r="AB107" s="114">
        <v>71634.323508308938</v>
      </c>
      <c r="AC107" s="114">
        <v>1.1746688231185052</v>
      </c>
      <c r="AD107" s="114">
        <v>330512.81054263818</v>
      </c>
      <c r="AE107" s="114">
        <v>1.1413758641580816</v>
      </c>
      <c r="AF107" s="382">
        <v>4.6145582872249875</v>
      </c>
      <c r="AG107" s="163">
        <v>0.23001993276977176</v>
      </c>
      <c r="AH107" s="436">
        <v>4.6170657761821943</v>
      </c>
      <c r="AI107" s="434">
        <v>0.29161275666720077</v>
      </c>
      <c r="AJ107" s="21">
        <v>0</v>
      </c>
      <c r="AL107" s="21">
        <v>0</v>
      </c>
    </row>
    <row r="108" spans="1:38" s="21" customFormat="1" x14ac:dyDescent="0.15">
      <c r="A108" s="113" t="s">
        <v>686</v>
      </c>
      <c r="B108" s="324">
        <v>22234.214510032762</v>
      </c>
      <c r="C108" s="114">
        <v>9.6366938413601777E-2</v>
      </c>
      <c r="D108" s="114">
        <v>37274.979736008092</v>
      </c>
      <c r="E108" s="114">
        <v>6.8806595826754385E-2</v>
      </c>
      <c r="F108" s="114">
        <v>20233.671585638454</v>
      </c>
      <c r="G108" s="114">
        <v>0.101768390921327</v>
      </c>
      <c r="H108" s="114">
        <v>20233.671585638454</v>
      </c>
      <c r="I108" s="114">
        <v>0.101768390921327</v>
      </c>
      <c r="J108" s="114">
        <v>81506.431511740899</v>
      </c>
      <c r="K108" s="114">
        <v>0.10152504790430714</v>
      </c>
      <c r="L108" s="114">
        <v>-125.39260611081876</v>
      </c>
      <c r="M108" s="114"/>
      <c r="N108" s="163">
        <v>2.186625776566276</v>
      </c>
      <c r="O108" s="163">
        <v>1.8646303634106591</v>
      </c>
      <c r="P108" s="324">
        <v>-76.644651210255816</v>
      </c>
      <c r="Q108" s="114">
        <v>-219.49753566706764</v>
      </c>
      <c r="R108" s="114">
        <v>116684.1721888483</v>
      </c>
      <c r="S108" s="114">
        <v>0.7745955542100339</v>
      </c>
      <c r="T108" s="114">
        <v>50.200958785119013</v>
      </c>
      <c r="U108" s="114">
        <v>360.5168479904832</v>
      </c>
      <c r="V108" s="114">
        <v>-18.635742484727192</v>
      </c>
      <c r="W108" s="114">
        <v>-693.69518695143461</v>
      </c>
      <c r="X108" s="114">
        <v>449015.70122142549</v>
      </c>
      <c r="Y108" s="114">
        <v>0.90327267909237241</v>
      </c>
      <c r="Z108" s="114">
        <v>847.87788253024382</v>
      </c>
      <c r="AA108" s="114">
        <v>25.974176061332603</v>
      </c>
      <c r="AB108" s="114">
        <v>79427.828195324895</v>
      </c>
      <c r="AC108" s="114">
        <v>1.1594244070268593</v>
      </c>
      <c r="AD108" s="114">
        <v>366661.3918271545</v>
      </c>
      <c r="AE108" s="114">
        <v>1.1093266490753473</v>
      </c>
      <c r="AF108" s="382">
        <v>4.6059740777911147</v>
      </c>
      <c r="AG108" s="163">
        <v>0.17894085655164196</v>
      </c>
      <c r="AH108" s="436">
        <v>4.6193345959851264</v>
      </c>
      <c r="AI108" s="434">
        <v>0.21566846433196324</v>
      </c>
      <c r="AJ108" s="21">
        <v>0</v>
      </c>
      <c r="AL108" s="21">
        <v>0</v>
      </c>
    </row>
    <row r="109" spans="1:38" s="21" customFormat="1" x14ac:dyDescent="0.15">
      <c r="A109" s="113" t="s">
        <v>687</v>
      </c>
      <c r="B109" s="324">
        <v>22298.833164292242</v>
      </c>
      <c r="C109" s="114">
        <v>9.9108296264611664E-2</v>
      </c>
      <c r="D109" s="114">
        <v>37071.606850718366</v>
      </c>
      <c r="E109" s="114">
        <v>7.6685764363491907E-2</v>
      </c>
      <c r="F109" s="114">
        <v>20374.04339605118</v>
      </c>
      <c r="G109" s="114">
        <v>0.10206381585497196</v>
      </c>
      <c r="H109" s="114">
        <v>20374.04339605118</v>
      </c>
      <c r="I109" s="114">
        <v>0.10206381585497196</v>
      </c>
      <c r="J109" s="114">
        <v>81497.673771216505</v>
      </c>
      <c r="K109" s="114">
        <v>0.10999120331532664</v>
      </c>
      <c r="L109" s="114">
        <v>-237.13223721451001</v>
      </c>
      <c r="M109" s="114"/>
      <c r="N109" s="163">
        <v>2.1983852520716205</v>
      </c>
      <c r="O109" s="163">
        <v>1.8636112440068573</v>
      </c>
      <c r="P109" s="324">
        <v>-368.28266479062921</v>
      </c>
      <c r="Q109" s="114">
        <v>-44.908123263489969</v>
      </c>
      <c r="R109" s="114">
        <v>120614.52931707341</v>
      </c>
      <c r="S109" s="114">
        <v>0.84075290689815474</v>
      </c>
      <c r="T109" s="114">
        <v>-170.15177374910749</v>
      </c>
      <c r="U109" s="114">
        <v>-90.259859502170315</v>
      </c>
      <c r="V109" s="114">
        <v>-277.67364194345009</v>
      </c>
      <c r="W109" s="114">
        <v>-40.952366949444468</v>
      </c>
      <c r="X109" s="114">
        <v>466355.16552191379</v>
      </c>
      <c r="Y109" s="114">
        <v>0.9692077718366845</v>
      </c>
      <c r="Z109" s="114">
        <v>155.85540931751817</v>
      </c>
      <c r="AA109" s="114">
        <v>144.90780610719003</v>
      </c>
      <c r="AB109" s="114">
        <v>83820.596108298414</v>
      </c>
      <c r="AC109" s="114">
        <v>1.2129771126955855</v>
      </c>
      <c r="AD109" s="114">
        <v>384701.63634138001</v>
      </c>
      <c r="AE109" s="114">
        <v>1.1875822925389101</v>
      </c>
      <c r="AF109" s="382">
        <v>4.608412150051997</v>
      </c>
      <c r="AG109" s="163">
        <v>0.2419147417352229</v>
      </c>
      <c r="AH109" s="436">
        <v>4.5917307111902037</v>
      </c>
      <c r="AI109" s="434">
        <v>0.24868464547629543</v>
      </c>
      <c r="AJ109" s="21">
        <v>0</v>
      </c>
      <c r="AL109" s="21">
        <v>0</v>
      </c>
    </row>
    <row r="110" spans="1:38" s="21" customFormat="1" x14ac:dyDescent="0.15">
      <c r="A110" s="113" t="s">
        <v>688</v>
      </c>
      <c r="B110" s="324">
        <v>22162.889135525202</v>
      </c>
      <c r="C110" s="114">
        <v>8.7199291736705875E-2</v>
      </c>
      <c r="D110" s="114">
        <v>37139.987680114973</v>
      </c>
      <c r="E110" s="114">
        <v>8.0448170476829978E-2</v>
      </c>
      <c r="F110" s="114">
        <v>20286.795675837391</v>
      </c>
      <c r="G110" s="114">
        <v>0.10321430816727974</v>
      </c>
      <c r="H110" s="114">
        <v>20286.795675837391</v>
      </c>
      <c r="I110" s="114">
        <v>0.10321430816727974</v>
      </c>
      <c r="J110" s="114">
        <v>81239.779200554462</v>
      </c>
      <c r="K110" s="114">
        <v>0.10881663388234677</v>
      </c>
      <c r="L110" s="114">
        <v>-67.708754388748048</v>
      </c>
      <c r="M110" s="114"/>
      <c r="N110" s="163">
        <v>2.1873938112276448</v>
      </c>
      <c r="O110" s="163">
        <v>1.8515564346751698</v>
      </c>
      <c r="P110" s="324">
        <v>5.9425149065605396</v>
      </c>
      <c r="Q110" s="114">
        <v>2568.0456619367692</v>
      </c>
      <c r="R110" s="114">
        <v>115219.39363417991</v>
      </c>
      <c r="S110" s="114">
        <v>0.74736463032791367</v>
      </c>
      <c r="T110" s="114">
        <v>-270.13112185443907</v>
      </c>
      <c r="U110" s="114">
        <v>-69.920796755872445</v>
      </c>
      <c r="V110" s="114">
        <v>-120.31120721261648</v>
      </c>
      <c r="W110" s="114">
        <v>-99.638501802061143</v>
      </c>
      <c r="X110" s="114">
        <v>440128.98833151092</v>
      </c>
      <c r="Y110" s="114">
        <v>0.87859470051874577</v>
      </c>
      <c r="Z110" s="114">
        <v>699.71531657649928</v>
      </c>
      <c r="AA110" s="114">
        <v>32.667272784450326</v>
      </c>
      <c r="AB110" s="114">
        <v>78199.717161277542</v>
      </c>
      <c r="AC110" s="114">
        <v>1.0912071533904897</v>
      </c>
      <c r="AD110" s="114">
        <v>358189.49381437979</v>
      </c>
      <c r="AE110" s="114">
        <v>1.0828249560612944</v>
      </c>
      <c r="AF110" s="382">
        <v>4.5898071171698192</v>
      </c>
      <c r="AG110" s="163">
        <v>0.21175989862617148</v>
      </c>
      <c r="AH110" s="436">
        <v>4.5816835996270369</v>
      </c>
      <c r="AI110" s="434">
        <v>0.22354116949005795</v>
      </c>
      <c r="AJ110" s="21">
        <v>0</v>
      </c>
      <c r="AL110" s="21">
        <v>0</v>
      </c>
    </row>
    <row r="111" spans="1:38" s="21" customFormat="1" x14ac:dyDescent="0.15">
      <c r="A111" s="113" t="s">
        <v>689</v>
      </c>
      <c r="B111" s="324">
        <v>22337.509465196868</v>
      </c>
      <c r="C111" s="114">
        <v>9.3296801476595706E-2</v>
      </c>
      <c r="D111" s="114">
        <v>37306.979545715956</v>
      </c>
      <c r="E111" s="114">
        <v>7.9254591128233839E-2</v>
      </c>
      <c r="F111" s="114">
        <v>20433.460989989046</v>
      </c>
      <c r="G111" s="114">
        <v>9.4931303288952301E-2</v>
      </c>
      <c r="H111" s="114">
        <v>20433.460989989046</v>
      </c>
      <c r="I111" s="114">
        <v>9.4931303288952301E-2</v>
      </c>
      <c r="J111" s="114">
        <v>81515.954244687484</v>
      </c>
      <c r="K111" s="114">
        <v>0.12123858460958879</v>
      </c>
      <c r="L111" s="114">
        <v>-324.1009213647593</v>
      </c>
      <c r="M111" s="114"/>
      <c r="N111" s="163">
        <v>2.1850054664650047</v>
      </c>
      <c r="O111" s="163">
        <v>1.8213416581112301</v>
      </c>
      <c r="P111" s="324">
        <v>-341.13625789899635</v>
      </c>
      <c r="Q111" s="114">
        <v>-55.72454981508961</v>
      </c>
      <c r="R111" s="114">
        <v>112486.51195070907</v>
      </c>
      <c r="S111" s="114">
        <v>1.2172049628180666</v>
      </c>
      <c r="T111" s="114">
        <v>-241.87190812744367</v>
      </c>
      <c r="U111" s="114">
        <v>-67.662666609295258</v>
      </c>
      <c r="V111" s="114">
        <v>-295.74078378044464</v>
      </c>
      <c r="W111" s="114">
        <v>-41.604126588687109</v>
      </c>
      <c r="X111" s="114">
        <v>429743.25158281834</v>
      </c>
      <c r="Y111" s="114">
        <v>1.4853892941692721</v>
      </c>
      <c r="Z111" s="114">
        <v>-205.38883995602683</v>
      </c>
      <c r="AA111" s="114">
        <v>-101.50627061831372</v>
      </c>
      <c r="AB111" s="114">
        <v>75475.273188773572</v>
      </c>
      <c r="AC111" s="114">
        <v>1.8071769484643654</v>
      </c>
      <c r="AD111" s="114">
        <v>348432.68617808708</v>
      </c>
      <c r="AE111" s="114">
        <v>1.8377720447949146</v>
      </c>
      <c r="AF111" s="382">
        <v>4.6265725013820287</v>
      </c>
      <c r="AG111" s="163">
        <v>0.21822572687727829</v>
      </c>
      <c r="AH111" s="436">
        <v>4.6157442372137334</v>
      </c>
      <c r="AI111" s="434">
        <v>0.23560893789361156</v>
      </c>
      <c r="AJ111" s="21">
        <v>0</v>
      </c>
      <c r="AL111" s="21">
        <v>0</v>
      </c>
    </row>
    <row r="112" spans="1:38" s="21" customFormat="1" x14ac:dyDescent="0.15">
      <c r="A112" s="113" t="s">
        <v>690</v>
      </c>
      <c r="B112" s="324">
        <v>22198.334113540033</v>
      </c>
      <c r="C112" s="114">
        <v>9.8164707097220374E-2</v>
      </c>
      <c r="D112" s="114">
        <v>36493.960890170318</v>
      </c>
      <c r="E112" s="114">
        <v>5.4518178096892897E-2</v>
      </c>
      <c r="F112" s="114">
        <v>20291.369941164026</v>
      </c>
      <c r="G112" s="114">
        <v>9.7677064492688481E-2</v>
      </c>
      <c r="H112" s="114">
        <v>20291.369941164026</v>
      </c>
      <c r="I112" s="114">
        <v>9.7677064492688481E-2</v>
      </c>
      <c r="J112" s="114">
        <v>79243.286641694576</v>
      </c>
      <c r="K112" s="114">
        <v>4.7250824119125817E-2</v>
      </c>
      <c r="L112" s="114">
        <v>1593.348182617975</v>
      </c>
      <c r="M112" s="114"/>
      <c r="N112" s="163">
        <v>2.1714082195730864</v>
      </c>
      <c r="O112" s="163">
        <v>1.8933501045738097</v>
      </c>
      <c r="P112" s="324">
        <v>1724.5927174642525</v>
      </c>
      <c r="Q112" s="114">
        <v>9.9077400178654571</v>
      </c>
      <c r="R112" s="114">
        <v>574735.59819376084</v>
      </c>
      <c r="S112" s="114">
        <v>2.7704956877374234</v>
      </c>
      <c r="T112" s="114">
        <v>1773.7718291009685</v>
      </c>
      <c r="U112" s="114">
        <v>10.356579015288668</v>
      </c>
      <c r="V112" s="114">
        <v>1747.0832600872161</v>
      </c>
      <c r="W112" s="114">
        <v>7.5666379422827648</v>
      </c>
      <c r="X112" s="114">
        <v>2556425.8255248656</v>
      </c>
      <c r="Y112" s="114">
        <v>2.8931752293971376</v>
      </c>
      <c r="Z112" s="114">
        <v>2482.0432603044201</v>
      </c>
      <c r="AA112" s="114">
        <v>8.6628023214822552</v>
      </c>
      <c r="AB112" s="114">
        <v>536494.55404350336</v>
      </c>
      <c r="AC112" s="114">
        <v>2.9697360838205142</v>
      </c>
      <c r="AD112" s="114">
        <v>2474700.4956228677</v>
      </c>
      <c r="AE112" s="114">
        <v>2.9873159870381931</v>
      </c>
      <c r="AF112" s="382">
        <v>4.5941716230038212</v>
      </c>
      <c r="AG112" s="163">
        <v>3.315174280829343E-2</v>
      </c>
      <c r="AH112" s="436">
        <v>4.6116625943847565</v>
      </c>
      <c r="AI112" s="434">
        <v>4.2341499456633416E-2</v>
      </c>
      <c r="AJ112" s="21">
        <v>0</v>
      </c>
      <c r="AL112" s="21">
        <v>0</v>
      </c>
    </row>
    <row r="113" spans="1:38" s="21" customFormat="1" x14ac:dyDescent="0.15">
      <c r="A113" s="113" t="s">
        <v>691</v>
      </c>
      <c r="B113" s="324">
        <v>22181.345886795621</v>
      </c>
      <c r="C113" s="114">
        <v>0.10486031633609547</v>
      </c>
      <c r="D113" s="114">
        <v>36413.473873484894</v>
      </c>
      <c r="E113" s="114">
        <v>5.2637700317690446E-2</v>
      </c>
      <c r="F113" s="114">
        <v>20457.221454702612</v>
      </c>
      <c r="G113" s="114">
        <v>8.6748874933250633E-2</v>
      </c>
      <c r="H113" s="114">
        <v>20457.221454702612</v>
      </c>
      <c r="I113" s="114">
        <v>8.6748874933250633E-2</v>
      </c>
      <c r="J113" s="114">
        <v>77012.250542553462</v>
      </c>
      <c r="K113" s="114">
        <v>3.7925285072155715E-2</v>
      </c>
      <c r="L113" s="114">
        <v>1436.8697242795465</v>
      </c>
      <c r="M113" s="114"/>
      <c r="N113" s="163">
        <v>2.1149383003150182</v>
      </c>
      <c r="O113" s="163">
        <v>1.8686612118899917</v>
      </c>
      <c r="P113" s="324">
        <v>1504.8557346917639</v>
      </c>
      <c r="Q113" s="114">
        <v>12.773177776071401</v>
      </c>
      <c r="R113" s="114">
        <v>579706.97337316722</v>
      </c>
      <c r="S113" s="114">
        <v>3.7146476437115621</v>
      </c>
      <c r="T113" s="114">
        <v>1383.2913241680192</v>
      </c>
      <c r="U113" s="114">
        <v>13.83385316242877</v>
      </c>
      <c r="V113" s="114">
        <v>1449.2620188776996</v>
      </c>
      <c r="W113" s="114">
        <v>9.9426949066890487</v>
      </c>
      <c r="X113" s="114">
        <v>2577935.7538787508</v>
      </c>
      <c r="Y113" s="114">
        <v>3.8755035233312651</v>
      </c>
      <c r="Z113" s="114">
        <v>2763.841682308961</v>
      </c>
      <c r="AA113" s="114">
        <v>9.507169925662275</v>
      </c>
      <c r="AB113" s="114">
        <v>541844.23748080479</v>
      </c>
      <c r="AC113" s="114">
        <v>3.9763245841005141</v>
      </c>
      <c r="AD113" s="114">
        <v>2498159.6616538898</v>
      </c>
      <c r="AE113" s="114">
        <v>3.9990690876247998</v>
      </c>
      <c r="AF113" s="382">
        <v>4.592717044094905</v>
      </c>
      <c r="AG113" s="163">
        <v>3.6091789989312777E-2</v>
      </c>
      <c r="AH113" s="436">
        <v>4.6087324750355041</v>
      </c>
      <c r="AI113" s="434">
        <v>3.5500458552858279E-2</v>
      </c>
      <c r="AJ113" s="21">
        <v>0</v>
      </c>
      <c r="AL113" s="21">
        <v>0</v>
      </c>
    </row>
    <row r="114" spans="1:38" s="21" customFormat="1" x14ac:dyDescent="0.15">
      <c r="A114" s="113" t="s">
        <v>692</v>
      </c>
      <c r="B114" s="324">
        <v>22433.664889010099</v>
      </c>
      <c r="C114" s="114">
        <v>0.10438097517365547</v>
      </c>
      <c r="D114" s="114">
        <v>36158.119398341849</v>
      </c>
      <c r="E114" s="114">
        <v>5.9729904131760568E-2</v>
      </c>
      <c r="F114" s="114">
        <v>20369.737387587604</v>
      </c>
      <c r="G114" s="114">
        <v>0.1129296686351961</v>
      </c>
      <c r="H114" s="114">
        <v>20369.737387587604</v>
      </c>
      <c r="I114" s="114">
        <v>0.1129296686351961</v>
      </c>
      <c r="J114" s="114">
        <v>76396.655263773777</v>
      </c>
      <c r="K114" s="114">
        <v>5.1086044828660776E-2</v>
      </c>
      <c r="L114" s="114">
        <v>1238.2149820127338</v>
      </c>
      <c r="M114" s="114"/>
      <c r="N114" s="163">
        <v>2.1128492447889089</v>
      </c>
      <c r="O114" s="163">
        <v>1.8337657373913752</v>
      </c>
      <c r="P114" s="324">
        <v>1248.758930090512</v>
      </c>
      <c r="Q114" s="114">
        <v>13.471754573825486</v>
      </c>
      <c r="R114" s="114">
        <v>542200.23204673245</v>
      </c>
      <c r="S114" s="114">
        <v>4.6234986290622109</v>
      </c>
      <c r="T114" s="114">
        <v>1348.3866753902589</v>
      </c>
      <c r="U114" s="114">
        <v>15.619050377941022</v>
      </c>
      <c r="V114" s="114">
        <v>1294.3205918920828</v>
      </c>
      <c r="W114" s="114">
        <v>9.8415240994202531</v>
      </c>
      <c r="X114" s="114">
        <v>2407263.0916290944</v>
      </c>
      <c r="Y114" s="114">
        <v>4.8614208579263822</v>
      </c>
      <c r="Z114" s="114">
        <v>2209.3233426860897</v>
      </c>
      <c r="AA114" s="114">
        <v>11.014451455505945</v>
      </c>
      <c r="AB114" s="114">
        <v>504747.79205649853</v>
      </c>
      <c r="AC114" s="114">
        <v>4.9678977485726383</v>
      </c>
      <c r="AD114" s="114">
        <v>2328657.1130226343</v>
      </c>
      <c r="AE114" s="114">
        <v>5.0227816492741004</v>
      </c>
      <c r="AF114" s="382">
        <v>4.5931988214356938</v>
      </c>
      <c r="AG114" s="163">
        <v>5.4277380070183866E-2</v>
      </c>
      <c r="AH114" s="436">
        <v>4.6084903973625062</v>
      </c>
      <c r="AI114" s="434">
        <v>5.3432533098752552E-2</v>
      </c>
      <c r="AJ114" s="21">
        <v>0</v>
      </c>
      <c r="AL114" s="21">
        <v>0</v>
      </c>
    </row>
    <row r="115" spans="1:38" s="21" customFormat="1" x14ac:dyDescent="0.15">
      <c r="A115" s="113" t="s">
        <v>693</v>
      </c>
      <c r="B115" s="324">
        <v>22428.770624931352</v>
      </c>
      <c r="C115" s="114">
        <v>9.2034509494904673E-2</v>
      </c>
      <c r="D115" s="114">
        <v>36217.504496010122</v>
      </c>
      <c r="E115" s="114">
        <v>6.2370622894443201E-2</v>
      </c>
      <c r="F115" s="114">
        <v>20603.279873767344</v>
      </c>
      <c r="G115" s="114">
        <v>9.1690473419647298E-2</v>
      </c>
      <c r="H115" s="114">
        <v>20603.279873767344</v>
      </c>
      <c r="I115" s="114">
        <v>9.1690473419647298E-2</v>
      </c>
      <c r="J115" s="114">
        <v>76381.256858063018</v>
      </c>
      <c r="K115" s="114">
        <v>5.4695207377914772E-2</v>
      </c>
      <c r="L115" s="114">
        <v>1345.0045710980537</v>
      </c>
      <c r="M115" s="114"/>
      <c r="N115" s="163">
        <v>2.1089596845767633</v>
      </c>
      <c r="O115" s="163">
        <v>1.8246400582786018</v>
      </c>
      <c r="P115" s="324">
        <v>1400.500770229381</v>
      </c>
      <c r="Q115" s="114">
        <v>12.549923230057722</v>
      </c>
      <c r="R115" s="114">
        <v>489551.81740780442</v>
      </c>
      <c r="S115" s="114">
        <v>5.7562460773222588</v>
      </c>
      <c r="T115" s="114">
        <v>1338.1550277862036</v>
      </c>
      <c r="U115" s="114">
        <v>12.813933542484367</v>
      </c>
      <c r="V115" s="114">
        <v>1371.9888770472407</v>
      </c>
      <c r="W115" s="114">
        <v>9.2474939694312752</v>
      </c>
      <c r="X115" s="114">
        <v>2166991.844344167</v>
      </c>
      <c r="Y115" s="114">
        <v>6.0746515883130705</v>
      </c>
      <c r="Z115" s="114">
        <v>1603.4809009953021</v>
      </c>
      <c r="AA115" s="114">
        <v>14.74785896412688</v>
      </c>
      <c r="AB115" s="114">
        <v>451962.32403474714</v>
      </c>
      <c r="AC115" s="114">
        <v>6.2392934461405565</v>
      </c>
      <c r="AD115" s="114">
        <v>2089007.106585108</v>
      </c>
      <c r="AE115" s="114">
        <v>6.3015242430575826</v>
      </c>
      <c r="AF115" s="382">
        <v>4.5975404919018263</v>
      </c>
      <c r="AG115" s="163">
        <v>6.6574475632805996E-2</v>
      </c>
      <c r="AH115" s="436">
        <v>4.6147863440515851</v>
      </c>
      <c r="AI115" s="434">
        <v>6.9867819573715087E-2</v>
      </c>
      <c r="AJ115" s="21">
        <v>0</v>
      </c>
      <c r="AL115" s="21">
        <v>0</v>
      </c>
    </row>
    <row r="116" spans="1:38" s="21" customFormat="1" x14ac:dyDescent="0.15">
      <c r="A116" s="113" t="s">
        <v>694</v>
      </c>
      <c r="B116" s="324">
        <v>22116.071705132235</v>
      </c>
      <c r="C116" s="114">
        <v>0.11428962655523084</v>
      </c>
      <c r="D116" s="114">
        <v>35867.654351341458</v>
      </c>
      <c r="E116" s="114">
        <v>5.3541891789253913E-2</v>
      </c>
      <c r="F116" s="114">
        <v>20484.669997616322</v>
      </c>
      <c r="G116" s="114">
        <v>9.8949068320630121E-2</v>
      </c>
      <c r="H116" s="114">
        <v>20484.669997616322</v>
      </c>
      <c r="I116" s="114">
        <v>9.8949068320630121E-2</v>
      </c>
      <c r="J116" s="114">
        <v>75475.450226386034</v>
      </c>
      <c r="K116" s="114">
        <v>5.243299213259843E-2</v>
      </c>
      <c r="L116" s="114">
        <v>1323.0586617088595</v>
      </c>
      <c r="M116" s="114"/>
      <c r="N116" s="163">
        <v>2.1042761672415646</v>
      </c>
      <c r="O116" s="163">
        <v>1.8255207834078873</v>
      </c>
      <c r="P116" s="324">
        <v>1443.2483832539135</v>
      </c>
      <c r="Q116" s="114">
        <v>13.361692446614327</v>
      </c>
      <c r="R116" s="114">
        <v>666361.17589828954</v>
      </c>
      <c r="S116" s="114">
        <v>7.2522999939802704</v>
      </c>
      <c r="T116" s="114">
        <v>1229.9256901521851</v>
      </c>
      <c r="U116" s="114">
        <v>12.123667543762165</v>
      </c>
      <c r="V116" s="114">
        <v>1345.6918605356793</v>
      </c>
      <c r="W116" s="114">
        <v>9.5191789227826309</v>
      </c>
      <c r="X116" s="114">
        <v>2997133.3680809373</v>
      </c>
      <c r="Y116" s="114">
        <v>7.5522308701076017</v>
      </c>
      <c r="Z116" s="114">
        <v>1817.8487219994715</v>
      </c>
      <c r="AA116" s="114">
        <v>11.33648368999574</v>
      </c>
      <c r="AB116" s="114">
        <v>629147.82968641201</v>
      </c>
      <c r="AC116" s="114">
        <v>7.682553109908218</v>
      </c>
      <c r="AD116" s="114">
        <v>2919840.0691325525</v>
      </c>
      <c r="AE116" s="114">
        <v>7.7516820891726192</v>
      </c>
      <c r="AF116" s="382">
        <v>4.6144414281703545</v>
      </c>
      <c r="AG116" s="163">
        <v>7.0697224909641448E-2</v>
      </c>
      <c r="AH116" s="436">
        <v>4.6286100734140216</v>
      </c>
      <c r="AI116" s="434">
        <v>6.5527345899669243E-2</v>
      </c>
      <c r="AJ116" s="21">
        <v>0</v>
      </c>
      <c r="AL116" s="21">
        <v>0</v>
      </c>
    </row>
    <row r="117" spans="1:38" s="21" customFormat="1" x14ac:dyDescent="0.15">
      <c r="A117" s="113" t="s">
        <v>695</v>
      </c>
      <c r="B117" s="324">
        <v>22368.150856217813</v>
      </c>
      <c r="C117" s="114">
        <v>0.10171524108935857</v>
      </c>
      <c r="D117" s="114">
        <v>35883.001760365492</v>
      </c>
      <c r="E117" s="114">
        <v>6.3168185837019969E-2</v>
      </c>
      <c r="F117" s="114">
        <v>20515.350603287876</v>
      </c>
      <c r="G117" s="114">
        <v>9.5575836797531497E-2</v>
      </c>
      <c r="H117" s="114">
        <v>20515.350603287876</v>
      </c>
      <c r="I117" s="114">
        <v>9.5575836797531497E-2</v>
      </c>
      <c r="J117" s="114">
        <v>75086.564177377295</v>
      </c>
      <c r="K117" s="114">
        <v>4.0817298783260007E-2</v>
      </c>
      <c r="L117" s="114">
        <v>1234.6127269086408</v>
      </c>
      <c r="M117" s="114"/>
      <c r="N117" s="163">
        <v>2.0925385417536062</v>
      </c>
      <c r="O117" s="163">
        <v>1.812052517163576</v>
      </c>
      <c r="P117" s="324">
        <v>1337.0758759235482</v>
      </c>
      <c r="Q117" s="114">
        <v>13.764233510667264</v>
      </c>
      <c r="R117" s="114">
        <v>590404.67028880154</v>
      </c>
      <c r="S117" s="114">
        <v>4.663404986616011</v>
      </c>
      <c r="T117" s="114">
        <v>1234.8711887046954</v>
      </c>
      <c r="U117" s="114">
        <v>12.903409081516251</v>
      </c>
      <c r="V117" s="114">
        <v>1290.3357295959315</v>
      </c>
      <c r="W117" s="114">
        <v>9.1327598212487739</v>
      </c>
      <c r="X117" s="114">
        <v>2632176.5825759764</v>
      </c>
      <c r="Y117" s="114">
        <v>4.8790444160452768</v>
      </c>
      <c r="Z117" s="114">
        <v>2397.2246407487769</v>
      </c>
      <c r="AA117" s="114">
        <v>8.2611005347130178</v>
      </c>
      <c r="AB117" s="114">
        <v>553231.33279884036</v>
      </c>
      <c r="AC117" s="114">
        <v>4.980103077905456</v>
      </c>
      <c r="AD117" s="114">
        <v>2554692.7937578494</v>
      </c>
      <c r="AE117" s="114">
        <v>5.0267444237692356</v>
      </c>
      <c r="AF117" s="382">
        <v>4.5994495361974863</v>
      </c>
      <c r="AG117" s="163">
        <v>3.8555266727142129E-2</v>
      </c>
      <c r="AH117" s="436">
        <v>4.6130745580728121</v>
      </c>
      <c r="AI117" s="434">
        <v>5.0860702452184756E-2</v>
      </c>
      <c r="AJ117" s="21">
        <v>0</v>
      </c>
      <c r="AL117" s="21">
        <v>0</v>
      </c>
    </row>
    <row r="118" spans="1:38" s="21" customFormat="1" x14ac:dyDescent="0.15">
      <c r="A118" s="113" t="s">
        <v>696</v>
      </c>
      <c r="B118" s="324">
        <v>22316.694487068613</v>
      </c>
      <c r="C118" s="114">
        <v>9.6534042703443637E-2</v>
      </c>
      <c r="D118" s="114">
        <v>35978.491584270276</v>
      </c>
      <c r="E118" s="114">
        <v>6.0180104803921913E-2</v>
      </c>
      <c r="F118" s="114">
        <v>20486.992908965924</v>
      </c>
      <c r="G118" s="114">
        <v>0.11355699246032733</v>
      </c>
      <c r="H118" s="114">
        <v>20486.992908965924</v>
      </c>
      <c r="I118" s="114">
        <v>0.11355699246032733</v>
      </c>
      <c r="J118" s="114">
        <v>75119.474266224541</v>
      </c>
      <c r="K118" s="114">
        <v>4.6942175773152822E-2</v>
      </c>
      <c r="L118" s="114">
        <v>1255.3571295837687</v>
      </c>
      <c r="M118" s="114"/>
      <c r="N118" s="163">
        <v>2.0878994910133093</v>
      </c>
      <c r="O118" s="163">
        <v>1.7913843827204463</v>
      </c>
      <c r="P118" s="324">
        <v>1166.1874752439589</v>
      </c>
      <c r="Q118" s="114">
        <v>14.357035497893374</v>
      </c>
      <c r="R118" s="114">
        <v>553277.68261846679</v>
      </c>
      <c r="S118" s="114">
        <v>3.5976737110874493</v>
      </c>
      <c r="T118" s="114">
        <v>1291.037335786513</v>
      </c>
      <c r="U118" s="114">
        <v>13.666106611390655</v>
      </c>
      <c r="V118" s="114">
        <v>1223.2836898064661</v>
      </c>
      <c r="W118" s="114">
        <v>9.5575829298812671</v>
      </c>
      <c r="X118" s="114">
        <v>2455768.890296537</v>
      </c>
      <c r="Y118" s="114">
        <v>3.7690610065057024</v>
      </c>
      <c r="Z118" s="114">
        <v>1426.9266001867552</v>
      </c>
      <c r="AA118" s="114">
        <v>12.958937476332164</v>
      </c>
      <c r="AB118" s="114">
        <v>516075.90734439017</v>
      </c>
      <c r="AC118" s="114">
        <v>3.8553695832019539</v>
      </c>
      <c r="AD118" s="114">
        <v>2379222.4894301258</v>
      </c>
      <c r="AE118" s="114">
        <v>3.8892307511059676</v>
      </c>
      <c r="AF118" s="382">
        <v>4.5959164331583526</v>
      </c>
      <c r="AG118" s="163">
        <v>4.2728218541534489E-2</v>
      </c>
      <c r="AH118" s="436">
        <v>4.6073634942184922</v>
      </c>
      <c r="AI118" s="434">
        <v>4.9120900918193051E-2</v>
      </c>
      <c r="AJ118" s="21">
        <v>0</v>
      </c>
      <c r="AL118" s="21">
        <v>0</v>
      </c>
    </row>
    <row r="119" spans="1:38" s="21" customFormat="1" x14ac:dyDescent="0.15">
      <c r="A119" s="113" t="s">
        <v>697</v>
      </c>
      <c r="B119" s="324">
        <v>22423.986865432296</v>
      </c>
      <c r="C119" s="114">
        <v>9.9715351533747221E-2</v>
      </c>
      <c r="D119" s="114">
        <v>35777.936745337873</v>
      </c>
      <c r="E119" s="114">
        <v>6.4920727487441557E-2</v>
      </c>
      <c r="F119" s="114">
        <v>20461.945090725829</v>
      </c>
      <c r="G119" s="114">
        <v>8.7834398015670695E-2</v>
      </c>
      <c r="H119" s="114">
        <v>20461.945090725829</v>
      </c>
      <c r="I119" s="114">
        <v>8.7834398015670695E-2</v>
      </c>
      <c r="J119" s="114">
        <v>75263.418739632063</v>
      </c>
      <c r="K119" s="114">
        <v>4.1392283000043592E-2</v>
      </c>
      <c r="L119" s="114">
        <v>1361.7376839463548</v>
      </c>
      <c r="M119" s="114"/>
      <c r="N119" s="163">
        <v>2.1036265806870329</v>
      </c>
      <c r="O119" s="163">
        <v>1.8335738898713689</v>
      </c>
      <c r="P119" s="324">
        <v>1320.9185194525367</v>
      </c>
      <c r="Q119" s="114">
        <v>13.254414045844555</v>
      </c>
      <c r="R119" s="114">
        <v>557373.53744125227</v>
      </c>
      <c r="S119" s="114">
        <v>5.1235712281458756</v>
      </c>
      <c r="T119" s="114">
        <v>1413.453172231902</v>
      </c>
      <c r="U119" s="114">
        <v>11.28427240998915</v>
      </c>
      <c r="V119" s="114">
        <v>1363.2363752082251</v>
      </c>
      <c r="W119" s="114">
        <v>7.8989909527437314</v>
      </c>
      <c r="X119" s="114">
        <v>2477419.0514070177</v>
      </c>
      <c r="Y119" s="114">
        <v>5.365443136947035</v>
      </c>
      <c r="Z119" s="114">
        <v>2535.7518987872327</v>
      </c>
      <c r="AA119" s="114">
        <v>8.8615780787968355</v>
      </c>
      <c r="AB119" s="114">
        <v>520232.36432070599</v>
      </c>
      <c r="AC119" s="114">
        <v>5.4913764836516918</v>
      </c>
      <c r="AD119" s="114">
        <v>2399619.8807685985</v>
      </c>
      <c r="AE119" s="114">
        <v>5.5379962015024313</v>
      </c>
      <c r="AF119" s="382">
        <v>4.5924788144462108</v>
      </c>
      <c r="AG119" s="163">
        <v>4.5412215718507627E-2</v>
      </c>
      <c r="AH119" s="436">
        <v>4.6077041782447301</v>
      </c>
      <c r="AI119" s="434">
        <v>4.82160587224435E-2</v>
      </c>
      <c r="AJ119" s="21">
        <v>0</v>
      </c>
      <c r="AL119" s="21">
        <v>0</v>
      </c>
    </row>
    <row r="120" spans="1:38" s="21" customFormat="1" x14ac:dyDescent="0.15">
      <c r="A120" s="113" t="s">
        <v>698</v>
      </c>
      <c r="B120" s="324">
        <v>22229.772561287842</v>
      </c>
      <c r="C120" s="114">
        <v>9.7950283328013366E-2</v>
      </c>
      <c r="D120" s="114">
        <v>35918.998195466331</v>
      </c>
      <c r="E120" s="114">
        <v>5.3308621647655048E-2</v>
      </c>
      <c r="F120" s="114">
        <v>20610.462789297664</v>
      </c>
      <c r="G120" s="114">
        <v>9.8364516670730817E-2</v>
      </c>
      <c r="H120" s="114">
        <v>20610.462789297664</v>
      </c>
      <c r="I120" s="114">
        <v>9.8364516670730817E-2</v>
      </c>
      <c r="J120" s="114">
        <v>75132.448590513071</v>
      </c>
      <c r="K120" s="114">
        <v>4.8822579005813056E-2</v>
      </c>
      <c r="L120" s="114">
        <v>1241.8208492549745</v>
      </c>
      <c r="M120" s="114"/>
      <c r="N120" s="163">
        <v>2.0917189332968711</v>
      </c>
      <c r="O120" s="163">
        <v>1.8370410244679423</v>
      </c>
      <c r="P120" s="324">
        <v>1408.301707258933</v>
      </c>
      <c r="Q120" s="114">
        <v>10.896894573416429</v>
      </c>
      <c r="R120" s="114">
        <v>610316.36453924037</v>
      </c>
      <c r="S120" s="114">
        <v>5.1182536112926416</v>
      </c>
      <c r="T120" s="114">
        <v>1234.3917544866299</v>
      </c>
      <c r="U120" s="114">
        <v>14.00931650976462</v>
      </c>
      <c r="V120" s="114">
        <v>1328.7693799107708</v>
      </c>
      <c r="W120" s="114">
        <v>9.1837090205079921</v>
      </c>
      <c r="X120" s="114">
        <v>2724855.0655073365</v>
      </c>
      <c r="Y120" s="114">
        <v>5.3394546609484594</v>
      </c>
      <c r="Z120" s="114">
        <v>1935.8598455378024</v>
      </c>
      <c r="AA120" s="114">
        <v>12.125441290780241</v>
      </c>
      <c r="AB120" s="114">
        <v>573068.596963863</v>
      </c>
      <c r="AC120" s="114">
        <v>5.4511714760446592</v>
      </c>
      <c r="AD120" s="114">
        <v>2647786.7570712855</v>
      </c>
      <c r="AE120" s="114">
        <v>5.4941797486676451</v>
      </c>
      <c r="AF120" s="382">
        <v>4.6027073404568295</v>
      </c>
      <c r="AG120" s="163">
        <v>4.2607096930797748E-2</v>
      </c>
      <c r="AH120" s="436">
        <v>4.6158579219682139</v>
      </c>
      <c r="AI120" s="434">
        <v>4.6738519562888367E-2</v>
      </c>
      <c r="AJ120" s="21">
        <v>0</v>
      </c>
      <c r="AL120" s="21">
        <v>0</v>
      </c>
    </row>
    <row r="121" spans="1:38" s="21" customFormat="1" x14ac:dyDescent="0.15">
      <c r="A121" s="113" t="s">
        <v>699</v>
      </c>
      <c r="B121" s="324">
        <v>22329.846575215743</v>
      </c>
      <c r="C121" s="114">
        <v>0.10252147623500857</v>
      </c>
      <c r="D121" s="114">
        <v>36068.41335162364</v>
      </c>
      <c r="E121" s="114">
        <v>5.8667009069343905E-2</v>
      </c>
      <c r="F121" s="114">
        <v>20614.297761138434</v>
      </c>
      <c r="G121" s="114">
        <v>0.10012780251936658</v>
      </c>
      <c r="H121" s="114">
        <v>20614.297761138434</v>
      </c>
      <c r="I121" s="114">
        <v>0.10012780251936658</v>
      </c>
      <c r="J121" s="114">
        <v>75096.056539727346</v>
      </c>
      <c r="K121" s="114">
        <v>6.881316469307136E-2</v>
      </c>
      <c r="L121" s="114">
        <v>1192.1322980751743</v>
      </c>
      <c r="M121" s="114"/>
      <c r="N121" s="163">
        <v>2.0820449130276715</v>
      </c>
      <c r="O121" s="163">
        <v>1.7906737833450872</v>
      </c>
      <c r="P121" s="324">
        <v>1203.526787630002</v>
      </c>
      <c r="Q121" s="114">
        <v>15.359199787340282</v>
      </c>
      <c r="R121" s="114">
        <v>601466.82984273601</v>
      </c>
      <c r="S121" s="114">
        <v>5.1005131407242743</v>
      </c>
      <c r="T121" s="114">
        <v>1242.7474017705038</v>
      </c>
      <c r="U121" s="114">
        <v>13.481431848088409</v>
      </c>
      <c r="V121" s="114">
        <v>1221.463120041652</v>
      </c>
      <c r="W121" s="114">
        <v>10.242929614191253</v>
      </c>
      <c r="X121" s="114">
        <v>2687756.2086862884</v>
      </c>
      <c r="Y121" s="114">
        <v>5.3175300773098062</v>
      </c>
      <c r="Z121" s="114">
        <v>1641.6624672847961</v>
      </c>
      <c r="AA121" s="114">
        <v>12.589261415627092</v>
      </c>
      <c r="AB121" s="114">
        <v>564176.95337107079</v>
      </c>
      <c r="AC121" s="114">
        <v>5.4405873121124078</v>
      </c>
      <c r="AD121" s="114">
        <v>2611018.4896792783</v>
      </c>
      <c r="AE121" s="114">
        <v>5.4721447731900277</v>
      </c>
      <c r="AF121" s="382">
        <v>4.6097018701867398</v>
      </c>
      <c r="AG121" s="163">
        <v>3.6443212760631942E-2</v>
      </c>
      <c r="AH121" s="436">
        <v>4.6248561026289536</v>
      </c>
      <c r="AI121" s="434">
        <v>4.2336244432867313E-2</v>
      </c>
      <c r="AJ121" s="21">
        <v>0</v>
      </c>
      <c r="AL121" s="21">
        <v>0</v>
      </c>
    </row>
    <row r="122" spans="1:38" s="21" customFormat="1" x14ac:dyDescent="0.15">
      <c r="A122" s="113" t="s">
        <v>700</v>
      </c>
      <c r="B122" s="324">
        <v>22451.945085843727</v>
      </c>
      <c r="C122" s="114">
        <v>9.3388080665773213E-2</v>
      </c>
      <c r="D122" s="114">
        <v>36093.175121133361</v>
      </c>
      <c r="E122" s="114">
        <v>5.63979019002478E-2</v>
      </c>
      <c r="F122" s="114">
        <v>20670.076265146359</v>
      </c>
      <c r="G122" s="114">
        <v>0.1023336086189181</v>
      </c>
      <c r="H122" s="114">
        <v>20670.076265146359</v>
      </c>
      <c r="I122" s="114">
        <v>0.1023336086189181</v>
      </c>
      <c r="J122" s="114">
        <v>74759.809242263509</v>
      </c>
      <c r="K122" s="114">
        <v>5.0196776491928656E-2</v>
      </c>
      <c r="L122" s="114">
        <v>1108.9058820308805</v>
      </c>
      <c r="M122" s="114"/>
      <c r="N122" s="163">
        <v>2.0713004325986817</v>
      </c>
      <c r="O122" s="163">
        <v>1.7891398332830961</v>
      </c>
      <c r="P122" s="324">
        <v>1037.1087539789567</v>
      </c>
      <c r="Q122" s="114">
        <v>16.672018987130048</v>
      </c>
      <c r="R122" s="114">
        <v>503777.16608248127</v>
      </c>
      <c r="S122" s="114">
        <v>3.5862972291436965</v>
      </c>
      <c r="T122" s="114">
        <v>1128.0809668640529</v>
      </c>
      <c r="U122" s="114">
        <v>13.751279185573189</v>
      </c>
      <c r="V122" s="114">
        <v>1078.7120762697584</v>
      </c>
      <c r="W122" s="114">
        <v>10.26595237616713</v>
      </c>
      <c r="X122" s="114">
        <v>2227340.3681253162</v>
      </c>
      <c r="Y122" s="114">
        <v>3.7686890971236977</v>
      </c>
      <c r="Z122" s="114">
        <v>2798.0688794343473</v>
      </c>
      <c r="AA122" s="114">
        <v>7.6876041377555833</v>
      </c>
      <c r="AB122" s="114">
        <v>466605.27888507815</v>
      </c>
      <c r="AC122" s="114">
        <v>3.8715889222928452</v>
      </c>
      <c r="AD122" s="114">
        <v>2149782.4900036184</v>
      </c>
      <c r="AE122" s="114">
        <v>3.9027735986314633</v>
      </c>
      <c r="AF122" s="382">
        <v>4.5934359618783187</v>
      </c>
      <c r="AG122" s="163">
        <v>4.5367167990730289E-2</v>
      </c>
      <c r="AH122" s="436">
        <v>4.6052595569031469</v>
      </c>
      <c r="AI122" s="434">
        <v>5.3701322644820901E-2</v>
      </c>
      <c r="AJ122" s="21">
        <v>0</v>
      </c>
      <c r="AL122" s="21">
        <v>0</v>
      </c>
    </row>
    <row r="123" spans="1:38" s="21" customFormat="1" x14ac:dyDescent="0.15">
      <c r="A123" s="113" t="s">
        <v>701</v>
      </c>
      <c r="B123" s="324">
        <v>22490.906447409237</v>
      </c>
      <c r="C123" s="114">
        <v>0.10625852477303938</v>
      </c>
      <c r="D123" s="114">
        <v>36124.441437022397</v>
      </c>
      <c r="E123" s="114">
        <v>5.6971280934938161E-2</v>
      </c>
      <c r="F123" s="114">
        <v>20487.263620242247</v>
      </c>
      <c r="G123" s="114">
        <v>0.11587431344270292</v>
      </c>
      <c r="H123" s="114">
        <v>20487.263620242247</v>
      </c>
      <c r="I123" s="114">
        <v>0.11587431344270292</v>
      </c>
      <c r="J123" s="114">
        <v>74910.562312088528</v>
      </c>
      <c r="K123" s="114">
        <v>7.6996419046969841E-2</v>
      </c>
      <c r="L123" s="114">
        <v>1204.8459912150056</v>
      </c>
      <c r="M123" s="114"/>
      <c r="N123" s="163">
        <v>2.0736808468771475</v>
      </c>
      <c r="O123" s="163">
        <v>1.7901924810172656</v>
      </c>
      <c r="P123" s="324">
        <v>1116.0125683345193</v>
      </c>
      <c r="Q123" s="114">
        <v>15.32807737402972</v>
      </c>
      <c r="R123" s="114">
        <v>810429.08022359223</v>
      </c>
      <c r="S123" s="114">
        <v>7.2302724615878109</v>
      </c>
      <c r="T123" s="114">
        <v>1338.519279086049</v>
      </c>
      <c r="U123" s="114">
        <v>12.538974737218249</v>
      </c>
      <c r="V123" s="114">
        <v>1217.7691169078096</v>
      </c>
      <c r="W123" s="114">
        <v>10.314968525271048</v>
      </c>
      <c r="X123" s="114">
        <v>3667828.5705065788</v>
      </c>
      <c r="Y123" s="114">
        <v>7.4576680383380642</v>
      </c>
      <c r="Z123" s="114">
        <v>2241.3033917136158</v>
      </c>
      <c r="AA123" s="114">
        <v>11.308199534952488</v>
      </c>
      <c r="AB123" s="114">
        <v>773086.86966966267</v>
      </c>
      <c r="AC123" s="114">
        <v>7.5807531669975035</v>
      </c>
      <c r="AD123" s="114">
        <v>3590676.7048027767</v>
      </c>
      <c r="AE123" s="114">
        <v>7.6176903857014917</v>
      </c>
      <c r="AF123" s="382">
        <v>4.6301226648048033</v>
      </c>
      <c r="AG123" s="163">
        <v>5.1820199347215552E-2</v>
      </c>
      <c r="AH123" s="436">
        <v>4.6369683069719558</v>
      </c>
      <c r="AI123" s="434">
        <v>5.0774621697981963E-2</v>
      </c>
      <c r="AJ123" s="21">
        <v>0</v>
      </c>
      <c r="AL123" s="21">
        <v>0</v>
      </c>
    </row>
    <row r="124" spans="1:38" s="21" customFormat="1" x14ac:dyDescent="0.15">
      <c r="A124" s="113" t="s">
        <v>702</v>
      </c>
      <c r="B124" s="324">
        <v>22629.774383087741</v>
      </c>
      <c r="C124" s="114">
        <v>9.6424370965151815E-2</v>
      </c>
      <c r="D124" s="114">
        <v>37541.539866214298</v>
      </c>
      <c r="E124" s="114">
        <v>5.4846882257490133E-2</v>
      </c>
      <c r="F124" s="114">
        <v>20905.899610750352</v>
      </c>
      <c r="G124" s="114">
        <v>0.1115403464444427</v>
      </c>
      <c r="H124" s="114">
        <v>20905.899610750352</v>
      </c>
      <c r="I124" s="114">
        <v>0.1115403464444427</v>
      </c>
      <c r="J124" s="114">
        <v>79656.403789022865</v>
      </c>
      <c r="K124" s="114">
        <v>5.2490148879211843E-2</v>
      </c>
      <c r="L124" s="114">
        <v>746.12022210845123</v>
      </c>
      <c r="M124" s="114"/>
      <c r="N124" s="163">
        <v>2.1218203641324274</v>
      </c>
      <c r="O124" s="163">
        <v>1.807311625217441</v>
      </c>
      <c r="P124" s="324">
        <v>762.50965307740057</v>
      </c>
      <c r="Q124" s="114">
        <v>21.983212237458243</v>
      </c>
      <c r="R124" s="114">
        <v>599764.64205669973</v>
      </c>
      <c r="S124" s="114">
        <v>4.4338003988951673</v>
      </c>
      <c r="T124" s="114">
        <v>642.62705677946235</v>
      </c>
      <c r="U124" s="114">
        <v>25.055227112866593</v>
      </c>
      <c r="V124" s="114">
        <v>707.68506287928426</v>
      </c>
      <c r="W124" s="114">
        <v>18.122379536145605</v>
      </c>
      <c r="X124" s="114">
        <v>2678455.5508073438</v>
      </c>
      <c r="Y124" s="114">
        <v>4.6195048422268563</v>
      </c>
      <c r="Z124" s="114">
        <v>659.83325406392339</v>
      </c>
      <c r="AA124" s="114">
        <v>46.259153268398499</v>
      </c>
      <c r="AB124" s="114">
        <v>561515.41712760599</v>
      </c>
      <c r="AC124" s="114">
        <v>4.7398653855952082</v>
      </c>
      <c r="AD124" s="114">
        <v>2598139.3137642574</v>
      </c>
      <c r="AE124" s="114">
        <v>4.7634834418416263</v>
      </c>
      <c r="AF124" s="382">
        <v>4.6186722063790988</v>
      </c>
      <c r="AG124" s="163">
        <v>3.8696873026147709E-2</v>
      </c>
      <c r="AH124" s="436">
        <v>4.6246917224290716</v>
      </c>
      <c r="AI124" s="434">
        <v>3.9816383750965724E-2</v>
      </c>
      <c r="AJ124" s="21">
        <v>0</v>
      </c>
      <c r="AL124" s="21">
        <v>0</v>
      </c>
    </row>
    <row r="125" spans="1:38" s="21" customFormat="1" x14ac:dyDescent="0.15">
      <c r="A125" s="113" t="s">
        <v>703</v>
      </c>
      <c r="B125" s="324">
        <v>22069.76190231126</v>
      </c>
      <c r="C125" s="114">
        <v>0.10138755993362707</v>
      </c>
      <c r="D125" s="114">
        <v>35827.850187243093</v>
      </c>
      <c r="E125" s="114">
        <v>6.6539593658578755E-2</v>
      </c>
      <c r="F125" s="114">
        <v>20134.332909619035</v>
      </c>
      <c r="G125" s="114">
        <v>0.11585239352921628</v>
      </c>
      <c r="H125" s="114">
        <v>20134.332909619035</v>
      </c>
      <c r="I125" s="114">
        <v>0.11585239352921628</v>
      </c>
      <c r="J125" s="114">
        <v>75480.494224168113</v>
      </c>
      <c r="K125" s="114">
        <v>7.1777116311437295E-2</v>
      </c>
      <c r="L125" s="114">
        <v>1123.8656539562726</v>
      </c>
      <c r="M125" s="114"/>
      <c r="N125" s="163">
        <v>2.1067547684187811</v>
      </c>
      <c r="O125" s="163">
        <v>1.819704813034926</v>
      </c>
      <c r="P125" s="324">
        <v>1161.2694294719822</v>
      </c>
      <c r="Q125" s="114">
        <v>14.215285868180469</v>
      </c>
      <c r="R125" s="114">
        <v>608583.77367220016</v>
      </c>
      <c r="S125" s="114">
        <v>4.6162813748494527</v>
      </c>
      <c r="T125" s="114">
        <v>1330.2346006749628</v>
      </c>
      <c r="U125" s="114">
        <v>14.804155083039667</v>
      </c>
      <c r="V125" s="114">
        <v>1238.5404142105504</v>
      </c>
      <c r="W125" s="114">
        <v>10.248958951553037</v>
      </c>
      <c r="X125" s="114">
        <v>2720965.4100245838</v>
      </c>
      <c r="Y125" s="114">
        <v>4.8117508521531214</v>
      </c>
      <c r="Z125" s="114">
        <v>1605.4434619133251</v>
      </c>
      <c r="AA125" s="114">
        <v>15.338020698374034</v>
      </c>
      <c r="AB125" s="114">
        <v>571517.38307074632</v>
      </c>
      <c r="AC125" s="114">
        <v>4.9186548582507701</v>
      </c>
      <c r="AD125" s="114">
        <v>2643879.4723385009</v>
      </c>
      <c r="AE125" s="114">
        <v>4.9511644089291389</v>
      </c>
      <c r="AF125" s="382">
        <v>4.6078872415601513</v>
      </c>
      <c r="AG125" s="163">
        <v>3.9281126168252953E-2</v>
      </c>
      <c r="AH125" s="436">
        <v>4.622499578497373</v>
      </c>
      <c r="AI125" s="434">
        <v>4.1676326620273325E-2</v>
      </c>
      <c r="AJ125" s="21">
        <v>0</v>
      </c>
      <c r="AL125" s="21">
        <v>0</v>
      </c>
    </row>
    <row r="126" spans="1:38" s="21" customFormat="1" x14ac:dyDescent="0.15">
      <c r="A126" s="113" t="s">
        <v>704</v>
      </c>
      <c r="B126" s="324">
        <v>22103.996346228036</v>
      </c>
      <c r="C126" s="114">
        <v>0.10327990144519346</v>
      </c>
      <c r="D126" s="114">
        <v>35583.391683821334</v>
      </c>
      <c r="E126" s="114">
        <v>5.8285007492209981E-2</v>
      </c>
      <c r="F126" s="114">
        <v>20261.281369659537</v>
      </c>
      <c r="G126" s="114">
        <v>0.10330700172577743</v>
      </c>
      <c r="H126" s="114">
        <v>20261.281369659537</v>
      </c>
      <c r="I126" s="114">
        <v>0.10330700172577743</v>
      </c>
      <c r="J126" s="114">
        <v>74357.793788701747</v>
      </c>
      <c r="K126" s="114">
        <v>3.9192645387094126E-2</v>
      </c>
      <c r="L126" s="114">
        <v>1042.4529415238237</v>
      </c>
      <c r="M126" s="114"/>
      <c r="N126" s="163">
        <v>2.0896769607971333</v>
      </c>
      <c r="O126" s="163">
        <v>1.7917484599901308</v>
      </c>
      <c r="P126" s="324">
        <v>1131.6880257561854</v>
      </c>
      <c r="Q126" s="114">
        <v>16.690553403856125</v>
      </c>
      <c r="R126" s="114">
        <v>567789.48640661431</v>
      </c>
      <c r="S126" s="114">
        <v>4.1500964475163826</v>
      </c>
      <c r="T126" s="114">
        <v>1237.7879410236155</v>
      </c>
      <c r="U126" s="114">
        <v>12.081798795265666</v>
      </c>
      <c r="V126" s="114">
        <v>1180.2095339168466</v>
      </c>
      <c r="W126" s="114">
        <v>10.529368731898174</v>
      </c>
      <c r="X126" s="114">
        <v>2528275.0700789439</v>
      </c>
      <c r="Y126" s="114">
        <v>4.3438158179204871</v>
      </c>
      <c r="Z126" s="114">
        <v>1671.1125888914239</v>
      </c>
      <c r="AA126" s="114">
        <v>13.767276969662404</v>
      </c>
      <c r="AB126" s="114">
        <v>531025.8851888763</v>
      </c>
      <c r="AC126" s="114">
        <v>4.4433821003787672</v>
      </c>
      <c r="AD126" s="114">
        <v>2452246.1637013494</v>
      </c>
      <c r="AE126" s="114">
        <v>4.4792696473719626</v>
      </c>
      <c r="AF126" s="382">
        <v>4.5977700024190211</v>
      </c>
      <c r="AG126" s="163">
        <v>3.6585842718911417E-2</v>
      </c>
      <c r="AH126" s="436">
        <v>4.6150051333926889</v>
      </c>
      <c r="AI126" s="434">
        <v>4.5450113738024912E-2</v>
      </c>
      <c r="AJ126" s="21">
        <v>0</v>
      </c>
      <c r="AL126" s="21">
        <v>0</v>
      </c>
    </row>
    <row r="127" spans="1:38" s="21" customFormat="1" x14ac:dyDescent="0.15">
      <c r="A127" s="113" t="s">
        <v>705</v>
      </c>
      <c r="B127" s="324">
        <v>22248.405005824163</v>
      </c>
      <c r="C127" s="114">
        <v>0.10804458912320773</v>
      </c>
      <c r="D127" s="114">
        <v>35920.645190788768</v>
      </c>
      <c r="E127" s="114">
        <v>5.850084131195394E-2</v>
      </c>
      <c r="F127" s="114">
        <v>20568.324946078807</v>
      </c>
      <c r="G127" s="114">
        <v>0.10510237399808986</v>
      </c>
      <c r="H127" s="114">
        <v>20568.324946078807</v>
      </c>
      <c r="I127" s="114">
        <v>0.10510237399808986</v>
      </c>
      <c r="J127" s="114">
        <v>74610.270179883082</v>
      </c>
      <c r="K127" s="114">
        <v>5.3599773294521771E-2</v>
      </c>
      <c r="L127" s="114">
        <v>4306.3918685290355</v>
      </c>
      <c r="M127" s="114"/>
      <c r="N127" s="163">
        <v>2.0770860262558872</v>
      </c>
      <c r="O127" s="163">
        <v>1.9798704621139902</v>
      </c>
      <c r="P127" s="324">
        <v>4266.1984141158391</v>
      </c>
      <c r="Q127" s="114">
        <v>5.2632157394837229</v>
      </c>
      <c r="R127" s="114">
        <v>413435.711967604</v>
      </c>
      <c r="S127" s="114">
        <v>13.402855911507146</v>
      </c>
      <c r="T127" s="114">
        <v>4260.8907845139465</v>
      </c>
      <c r="U127" s="114">
        <v>4.9186367410251508</v>
      </c>
      <c r="V127" s="114">
        <v>4263.7711342033808</v>
      </c>
      <c r="W127" s="114">
        <v>4.3854915016856966</v>
      </c>
      <c r="X127" s="114">
        <v>1789112.3246801787</v>
      </c>
      <c r="Y127" s="114">
        <v>14.297511296270832</v>
      </c>
      <c r="Z127" s="114">
        <v>4629.6989135751392</v>
      </c>
      <c r="AA127" s="114">
        <v>6.6705200187764255</v>
      </c>
      <c r="AB127" s="114">
        <v>373251.29564261186</v>
      </c>
      <c r="AC127" s="114">
        <v>14.807676645535485</v>
      </c>
      <c r="AD127" s="114">
        <v>1709872.3555867202</v>
      </c>
      <c r="AE127" s="114">
        <v>14.949018564163012</v>
      </c>
      <c r="AF127" s="382">
        <v>4.4523429210455259</v>
      </c>
      <c r="AG127" s="163">
        <v>0.13061835865150936</v>
      </c>
      <c r="AH127" s="436">
        <v>4.5498548523561668</v>
      </c>
      <c r="AI127" s="434">
        <v>0.11539705063691916</v>
      </c>
      <c r="AJ127" s="21">
        <v>0</v>
      </c>
      <c r="AL127" s="21">
        <v>0</v>
      </c>
    </row>
    <row r="128" spans="1:38" s="21" customFormat="1" x14ac:dyDescent="0.15">
      <c r="A128" s="113" t="s">
        <v>706</v>
      </c>
      <c r="B128" s="324">
        <v>23438.761104825549</v>
      </c>
      <c r="C128" s="114">
        <v>9.62444828989856E-2</v>
      </c>
      <c r="D128" s="114">
        <v>37918.465683399445</v>
      </c>
      <c r="E128" s="114">
        <v>6.3624096968244323E-2</v>
      </c>
      <c r="F128" s="114">
        <v>21322.147327591261</v>
      </c>
      <c r="G128" s="114">
        <v>0.11334480811884572</v>
      </c>
      <c r="H128" s="114">
        <v>21322.147327591261</v>
      </c>
      <c r="I128" s="114">
        <v>0.11334480811884572</v>
      </c>
      <c r="J128" s="114">
        <v>79768.232138948588</v>
      </c>
      <c r="K128" s="114">
        <v>0.11520176248969724</v>
      </c>
      <c r="L128" s="114">
        <v>2922.4499282185857</v>
      </c>
      <c r="M128" s="114"/>
      <c r="N128" s="163">
        <v>2.1036777385713368</v>
      </c>
      <c r="O128" s="163">
        <v>1.9113306866870918</v>
      </c>
      <c r="P128" s="324">
        <v>2914.4095391954083</v>
      </c>
      <c r="Q128" s="114">
        <v>9.3123550638116459</v>
      </c>
      <c r="R128" s="114">
        <v>365144.55366718938</v>
      </c>
      <c r="S128" s="114">
        <v>9.6705581014003208</v>
      </c>
      <c r="T128" s="114">
        <v>3181.0848135121832</v>
      </c>
      <c r="U128" s="114">
        <v>8.4600130736264827</v>
      </c>
      <c r="V128" s="114">
        <v>3036.3652115104478</v>
      </c>
      <c r="W128" s="114">
        <v>7.8037585435444177</v>
      </c>
      <c r="X128" s="114">
        <v>1560438.4067527466</v>
      </c>
      <c r="Y128" s="114">
        <v>10.312197334490236</v>
      </c>
      <c r="Z128" s="114">
        <v>3155.2636300788467</v>
      </c>
      <c r="AA128" s="114">
        <v>11.299014745579221</v>
      </c>
      <c r="AB128" s="114">
        <v>324189.72277227946</v>
      </c>
      <c r="AC128" s="114">
        <v>10.831159670916573</v>
      </c>
      <c r="AD128" s="114">
        <v>1477514.9109837189</v>
      </c>
      <c r="AE128" s="114">
        <v>10.872931621459342</v>
      </c>
      <c r="AF128" s="382">
        <v>4.5018724164333292</v>
      </c>
      <c r="AG128" s="163">
        <v>8.4103781028984581E-2</v>
      </c>
      <c r="AH128" s="436">
        <v>4.552243545175668</v>
      </c>
      <c r="AI128" s="434">
        <v>9.5511084093887894E-2</v>
      </c>
      <c r="AJ128" s="21">
        <v>0</v>
      </c>
      <c r="AL128" s="21">
        <v>0</v>
      </c>
    </row>
    <row r="129" spans="1:38" s="21" customFormat="1" x14ac:dyDescent="0.15">
      <c r="A129" s="113" t="s">
        <v>707</v>
      </c>
      <c r="B129" s="324">
        <v>23036.559972947107</v>
      </c>
      <c r="C129" s="114">
        <v>0.115055687544684</v>
      </c>
      <c r="D129" s="114">
        <v>37706.783077955253</v>
      </c>
      <c r="E129" s="114">
        <v>5.4815795646765128E-2</v>
      </c>
      <c r="F129" s="114">
        <v>21169.132009286179</v>
      </c>
      <c r="G129" s="114">
        <v>0.1018050196161715</v>
      </c>
      <c r="H129" s="114">
        <v>21169.132009286179</v>
      </c>
      <c r="I129" s="114">
        <v>0.1018050196161715</v>
      </c>
      <c r="J129" s="114">
        <v>79718.877612518336</v>
      </c>
      <c r="K129" s="114">
        <v>5.9203651964329286E-2</v>
      </c>
      <c r="L129" s="114">
        <v>3487.0210048342419</v>
      </c>
      <c r="M129" s="114"/>
      <c r="N129" s="163">
        <v>2.1141786995646643</v>
      </c>
      <c r="O129" s="163">
        <v>1.9362020254513994</v>
      </c>
      <c r="P129" s="324">
        <v>3385.0688160534587</v>
      </c>
      <c r="Q129" s="114">
        <v>7.9492376988944979</v>
      </c>
      <c r="R129" s="114">
        <v>393831.30435862218</v>
      </c>
      <c r="S129" s="114">
        <v>9.903062513761073</v>
      </c>
      <c r="T129" s="114">
        <v>3842.2345956844811</v>
      </c>
      <c r="U129" s="114">
        <v>7.3459985271002592</v>
      </c>
      <c r="V129" s="114">
        <v>3594.1394175825003</v>
      </c>
      <c r="W129" s="114">
        <v>6.8741473042928485</v>
      </c>
      <c r="X129" s="114">
        <v>1691745.5963845919</v>
      </c>
      <c r="Y129" s="114">
        <v>10.522797149181185</v>
      </c>
      <c r="Z129" s="114">
        <v>3533.1216364925763</v>
      </c>
      <c r="AA129" s="114">
        <v>9.0720979755557956</v>
      </c>
      <c r="AB129" s="114">
        <v>352530.38186308433</v>
      </c>
      <c r="AC129" s="114">
        <v>11.003660188457525</v>
      </c>
      <c r="AD129" s="114">
        <v>1608493.5971355806</v>
      </c>
      <c r="AE129" s="114">
        <v>11.053859540770688</v>
      </c>
      <c r="AF129" s="382">
        <v>4.495345184036255</v>
      </c>
      <c r="AG129" s="163">
        <v>7.3310670692275731E-2</v>
      </c>
      <c r="AH129" s="436">
        <v>4.5567998046449594</v>
      </c>
      <c r="AI129" s="434">
        <v>8.046155950834874E-2</v>
      </c>
      <c r="AJ129" s="21">
        <v>0</v>
      </c>
      <c r="AL129" s="21">
        <v>0</v>
      </c>
    </row>
    <row r="130" spans="1:38" s="21" customFormat="1" x14ac:dyDescent="0.15">
      <c r="A130" s="113" t="s">
        <v>708</v>
      </c>
      <c r="B130" s="324">
        <v>23324.93244318373</v>
      </c>
      <c r="C130" s="114">
        <v>0.10213578242755192</v>
      </c>
      <c r="D130" s="114">
        <v>37725.015022331667</v>
      </c>
      <c r="E130" s="114">
        <v>4.9838497562610065E-2</v>
      </c>
      <c r="F130" s="114">
        <v>21256.482091167272</v>
      </c>
      <c r="G130" s="114">
        <v>9.1886827646009778E-2</v>
      </c>
      <c r="H130" s="114">
        <v>21256.482091167272</v>
      </c>
      <c r="I130" s="114">
        <v>9.1886827646009778E-2</v>
      </c>
      <c r="J130" s="114">
        <v>80006.903064133832</v>
      </c>
      <c r="K130" s="114">
        <v>4.1924887918118652E-2</v>
      </c>
      <c r="L130" s="114">
        <v>3816.5912397335219</v>
      </c>
      <c r="M130" s="114"/>
      <c r="N130" s="163">
        <v>2.1207918145764295</v>
      </c>
      <c r="O130" s="163">
        <v>1.9944459101709111</v>
      </c>
      <c r="P130" s="324">
        <v>3649.3860372254085</v>
      </c>
      <c r="Q130" s="114">
        <v>5.6089279838038539</v>
      </c>
      <c r="R130" s="114">
        <v>295192.07566863624</v>
      </c>
      <c r="S130" s="114">
        <v>8.4648832721619662</v>
      </c>
      <c r="T130" s="114">
        <v>3883.140258632814</v>
      </c>
      <c r="U130" s="114">
        <v>5.6987063356569054</v>
      </c>
      <c r="V130" s="114">
        <v>3756.2862862314546</v>
      </c>
      <c r="W130" s="114">
        <v>4.8761187330431817</v>
      </c>
      <c r="X130" s="114">
        <v>1241507.825614068</v>
      </c>
      <c r="Y130" s="114">
        <v>9.1987831527606918</v>
      </c>
      <c r="Z130" s="114">
        <v>4471.4025945912081</v>
      </c>
      <c r="AA130" s="114">
        <v>6.5048064932326</v>
      </c>
      <c r="AB130" s="114">
        <v>253710.77436007324</v>
      </c>
      <c r="AC130" s="114">
        <v>9.7949941063239105</v>
      </c>
      <c r="AD130" s="114">
        <v>1157029.5199553436</v>
      </c>
      <c r="AE130" s="114">
        <v>9.8515125043025993</v>
      </c>
      <c r="AF130" s="382">
        <v>4.4643918386602781</v>
      </c>
      <c r="AG130" s="163">
        <v>0.11903664635834338</v>
      </c>
      <c r="AH130" s="436">
        <v>4.5536550795805057</v>
      </c>
      <c r="AI130" s="434">
        <v>0.13294439432888494</v>
      </c>
      <c r="AJ130" s="21">
        <v>0</v>
      </c>
      <c r="AL130" s="21">
        <v>0</v>
      </c>
    </row>
    <row r="131" spans="1:38" s="21" customFormat="1" x14ac:dyDescent="0.15">
      <c r="A131" s="113" t="s">
        <v>709</v>
      </c>
      <c r="B131" s="324">
        <v>23416.318507951048</v>
      </c>
      <c r="C131" s="114">
        <v>8.5333649486922708E-2</v>
      </c>
      <c r="D131" s="114">
        <v>38236.514158969898</v>
      </c>
      <c r="E131" s="114">
        <v>0.11269835553929945</v>
      </c>
      <c r="F131" s="114">
        <v>21147.090626028745</v>
      </c>
      <c r="G131" s="114">
        <v>0.10266191921995464</v>
      </c>
      <c r="H131" s="114">
        <v>21147.090626028745</v>
      </c>
      <c r="I131" s="114">
        <v>0.10266191921995464</v>
      </c>
      <c r="J131" s="114">
        <v>81779.484771741234</v>
      </c>
      <c r="K131" s="114">
        <v>0.20453665592567474</v>
      </c>
      <c r="L131" s="114">
        <v>3010.5420875807304</v>
      </c>
      <c r="M131" s="114"/>
      <c r="N131" s="163">
        <v>2.1387798174211077</v>
      </c>
      <c r="O131" s="163">
        <v>1.9708647879629659</v>
      </c>
      <c r="P131" s="324">
        <v>2749.1827270045155</v>
      </c>
      <c r="Q131" s="114">
        <v>10.24861393509466</v>
      </c>
      <c r="R131" s="114">
        <v>345199.29540583305</v>
      </c>
      <c r="S131" s="114">
        <v>10.619545754824445</v>
      </c>
      <c r="T131" s="114">
        <v>3291.6728843150568</v>
      </c>
      <c r="U131" s="114">
        <v>8.4974633982454364</v>
      </c>
      <c r="V131" s="114">
        <v>2997.273788422187</v>
      </c>
      <c r="W131" s="114">
        <v>8.1966678861091093</v>
      </c>
      <c r="X131" s="114">
        <v>1472906.0366272931</v>
      </c>
      <c r="Y131" s="114">
        <v>11.403235113561982</v>
      </c>
      <c r="Z131" s="114">
        <v>3103.3403101067688</v>
      </c>
      <c r="AA131" s="114">
        <v>10.802714856288691</v>
      </c>
      <c r="AB131" s="114">
        <v>303965.50745844137</v>
      </c>
      <c r="AC131" s="114">
        <v>11.991616604148605</v>
      </c>
      <c r="AD131" s="114">
        <v>1388023.2115454457</v>
      </c>
      <c r="AE131" s="114">
        <v>12.084910267315724</v>
      </c>
      <c r="AF131" s="382">
        <v>4.4994722658325719</v>
      </c>
      <c r="AG131" s="163">
        <v>0.11062316224121516</v>
      </c>
      <c r="AH131" s="436">
        <v>4.5519738113386117</v>
      </c>
      <c r="AI131" s="434">
        <v>0.12466096796636815</v>
      </c>
      <c r="AJ131" s="21">
        <v>0</v>
      </c>
      <c r="AL131" s="21">
        <v>0</v>
      </c>
    </row>
    <row r="132" spans="1:38" s="21" customFormat="1" x14ac:dyDescent="0.15">
      <c r="A132" s="113" t="s">
        <v>710</v>
      </c>
      <c r="B132" s="324">
        <v>23217.265534076214</v>
      </c>
      <c r="C132" s="114">
        <v>0.10877391027088872</v>
      </c>
      <c r="D132" s="114">
        <v>38453.433142395254</v>
      </c>
      <c r="E132" s="114">
        <v>9.7484947745208578E-2</v>
      </c>
      <c r="F132" s="114">
        <v>21193.734851759407</v>
      </c>
      <c r="G132" s="114">
        <v>0.10622365423740583</v>
      </c>
      <c r="H132" s="114">
        <v>21193.734851759407</v>
      </c>
      <c r="I132" s="114">
        <v>0.10622365423740583</v>
      </c>
      <c r="J132" s="114">
        <v>82083.896986082938</v>
      </c>
      <c r="K132" s="114">
        <v>0.17547058335294435</v>
      </c>
      <c r="L132" s="114">
        <v>2703.7483357358942</v>
      </c>
      <c r="M132" s="114"/>
      <c r="N132" s="163">
        <v>2.1346311701772267</v>
      </c>
      <c r="O132" s="163">
        <v>1.9430611841097907</v>
      </c>
      <c r="P132" s="324">
        <v>2525.5080880633022</v>
      </c>
      <c r="Q132" s="114">
        <v>9.1735848809695959</v>
      </c>
      <c r="R132" s="114">
        <v>330005.92358911753</v>
      </c>
      <c r="S132" s="114">
        <v>10.415679324825016</v>
      </c>
      <c r="T132" s="114">
        <v>2819.7338257873685</v>
      </c>
      <c r="U132" s="114">
        <v>8.7280988301787872</v>
      </c>
      <c r="V132" s="114">
        <v>2660.0631110156846</v>
      </c>
      <c r="W132" s="114">
        <v>7.9506594859763755</v>
      </c>
      <c r="X132" s="114">
        <v>1405644.5283919568</v>
      </c>
      <c r="Y132" s="114">
        <v>11.217594427463473</v>
      </c>
      <c r="Z132" s="114">
        <v>2581.0918106194245</v>
      </c>
      <c r="AA132" s="114">
        <v>11.332935356029896</v>
      </c>
      <c r="AB132" s="114">
        <v>288892.42733570689</v>
      </c>
      <c r="AC132" s="114">
        <v>11.839831129382482</v>
      </c>
      <c r="AD132" s="114">
        <v>1320979.5395952549</v>
      </c>
      <c r="AE132" s="114">
        <v>11.923163925331924</v>
      </c>
      <c r="AF132" s="382">
        <v>4.5080251294974829</v>
      </c>
      <c r="AG132" s="163">
        <v>0.10302372112389827</v>
      </c>
      <c r="AH132" s="436">
        <v>4.5589847041623379</v>
      </c>
      <c r="AI132" s="434">
        <v>9.8768109844674309E-2</v>
      </c>
      <c r="AJ132" s="21">
        <v>0</v>
      </c>
      <c r="AL132" s="21">
        <v>0</v>
      </c>
    </row>
    <row r="133" spans="1:38" s="21" customFormat="1" x14ac:dyDescent="0.15">
      <c r="A133" s="113" t="s">
        <v>711</v>
      </c>
      <c r="B133" s="324">
        <v>23247.63298884809</v>
      </c>
      <c r="C133" s="114">
        <v>8.5251346338177963E-2</v>
      </c>
      <c r="D133" s="114">
        <v>37966.554385323536</v>
      </c>
      <c r="E133" s="114">
        <v>6.1030128277195984E-2</v>
      </c>
      <c r="F133" s="114">
        <v>21151.106139128358</v>
      </c>
      <c r="G133" s="114">
        <v>0.12366485879074379</v>
      </c>
      <c r="H133" s="114">
        <v>21151.106139128358</v>
      </c>
      <c r="I133" s="114">
        <v>0.12366485879074379</v>
      </c>
      <c r="J133" s="114">
        <v>80567.906242003228</v>
      </c>
      <c r="K133" s="114">
        <v>5.7327851963123524E-2</v>
      </c>
      <c r="L133" s="114">
        <v>3394.9678403104881</v>
      </c>
      <c r="M133" s="114"/>
      <c r="N133" s="163">
        <v>2.1220757992499788</v>
      </c>
      <c r="O133" s="163">
        <v>1.9653006580783601</v>
      </c>
      <c r="P133" s="324">
        <v>3229.1880641514708</v>
      </c>
      <c r="Q133" s="114">
        <v>8.6769169058838216</v>
      </c>
      <c r="R133" s="114">
        <v>389943.67470406019</v>
      </c>
      <c r="S133" s="114">
        <v>11.492782673677713</v>
      </c>
      <c r="T133" s="114">
        <v>3540.6456872595531</v>
      </c>
      <c r="U133" s="114">
        <v>6.6312203748322833</v>
      </c>
      <c r="V133" s="114">
        <v>3371.6235558599005</v>
      </c>
      <c r="W133" s="114">
        <v>6.858775073136961</v>
      </c>
      <c r="X133" s="114">
        <v>1674263.0125074075</v>
      </c>
      <c r="Y133" s="114">
        <v>12.245509325558729</v>
      </c>
      <c r="Z133" s="114">
        <v>3160.1447662641649</v>
      </c>
      <c r="AA133" s="114">
        <v>8.3556160683462668</v>
      </c>
      <c r="AB133" s="114">
        <v>348605.4967628764</v>
      </c>
      <c r="AC133" s="114">
        <v>12.800853354283285</v>
      </c>
      <c r="AD133" s="114">
        <v>1590534.9614991401</v>
      </c>
      <c r="AE133" s="114">
        <v>12.880431701163785</v>
      </c>
      <c r="AF133" s="382">
        <v>4.4866157633701764</v>
      </c>
      <c r="AG133" s="163">
        <v>0.10081731851479746</v>
      </c>
      <c r="AH133" s="436">
        <v>4.5510735902439512</v>
      </c>
      <c r="AI133" s="434">
        <v>8.0616164772597476E-2</v>
      </c>
      <c r="AJ133" s="21">
        <v>0</v>
      </c>
      <c r="AL133" s="21">
        <v>0</v>
      </c>
    </row>
    <row r="134" spans="1:38" s="21" customFormat="1" x14ac:dyDescent="0.15">
      <c r="A134" s="113" t="s">
        <v>712</v>
      </c>
      <c r="B134" s="324">
        <v>23250.20956418533</v>
      </c>
      <c r="C134" s="114">
        <v>0.1003600486450142</v>
      </c>
      <c r="D134" s="114">
        <v>38021.816759032961</v>
      </c>
      <c r="E134" s="114">
        <v>6.4175597951179844E-2</v>
      </c>
      <c r="F134" s="114">
        <v>21262.681825407355</v>
      </c>
      <c r="G134" s="114">
        <v>9.6694664099045632E-2</v>
      </c>
      <c r="H134" s="114">
        <v>21262.681825407355</v>
      </c>
      <c r="I134" s="114">
        <v>9.6694664099045632E-2</v>
      </c>
      <c r="J134" s="114">
        <v>81031.022111762824</v>
      </c>
      <c r="K134" s="114">
        <v>4.3674287342106537E-2</v>
      </c>
      <c r="L134" s="114">
        <v>3171.4166696659727</v>
      </c>
      <c r="M134" s="114"/>
      <c r="N134" s="163">
        <v>2.1311717592377284</v>
      </c>
      <c r="O134" s="163">
        <v>1.967305848268962</v>
      </c>
      <c r="P134" s="324">
        <v>2965.8689384507361</v>
      </c>
      <c r="Q134" s="114">
        <v>8.4252831156045556</v>
      </c>
      <c r="R134" s="114">
        <v>370629.04092870658</v>
      </c>
      <c r="S134" s="114">
        <v>10.763270049010838</v>
      </c>
      <c r="T134" s="114">
        <v>3312.3079635203394</v>
      </c>
      <c r="U134" s="114">
        <v>7.8121328311209064</v>
      </c>
      <c r="V134" s="114">
        <v>3124.3020902559638</v>
      </c>
      <c r="W134" s="114">
        <v>7.026981097535538</v>
      </c>
      <c r="X134" s="114">
        <v>1588789.6370532103</v>
      </c>
      <c r="Y134" s="114">
        <v>11.510672483143242</v>
      </c>
      <c r="Z134" s="114">
        <v>3713.3135304129046</v>
      </c>
      <c r="AA134" s="114">
        <v>7.4842904936360481</v>
      </c>
      <c r="AB134" s="114">
        <v>329482.92207941774</v>
      </c>
      <c r="AC134" s="114">
        <v>12.052492224394147</v>
      </c>
      <c r="AD134" s="114">
        <v>1504045.3014110345</v>
      </c>
      <c r="AE134" s="114">
        <v>12.151769301183071</v>
      </c>
      <c r="AF134" s="382">
        <v>4.4914108107401063</v>
      </c>
      <c r="AG134" s="163">
        <v>0.10373207199109562</v>
      </c>
      <c r="AH134" s="436">
        <v>4.5480022803499347</v>
      </c>
      <c r="AI134" s="434">
        <v>9.9618949865060091E-2</v>
      </c>
      <c r="AJ134" s="21">
        <v>0</v>
      </c>
      <c r="AL134" s="21">
        <v>0</v>
      </c>
    </row>
    <row r="135" spans="1:38" s="21" customFormat="1" x14ac:dyDescent="0.15">
      <c r="A135" s="113" t="s">
        <v>713</v>
      </c>
      <c r="B135" s="324">
        <v>23078.619173943789</v>
      </c>
      <c r="C135" s="114">
        <v>0.10799278460976904</v>
      </c>
      <c r="D135" s="114">
        <v>38023.615282176332</v>
      </c>
      <c r="E135" s="114">
        <v>6.6847455327972816E-2</v>
      </c>
      <c r="F135" s="114">
        <v>21201.43544356155</v>
      </c>
      <c r="G135" s="114">
        <v>0.11481785012717104</v>
      </c>
      <c r="H135" s="114">
        <v>21201.43544356155</v>
      </c>
      <c r="I135" s="114">
        <v>0.11481785012717104</v>
      </c>
      <c r="J135" s="114">
        <v>81044.382466796655</v>
      </c>
      <c r="K135" s="114">
        <v>0.11556000772612017</v>
      </c>
      <c r="L135" s="114">
        <v>2531.7807223375157</v>
      </c>
      <c r="M135" s="114"/>
      <c r="N135" s="163">
        <v>2.131422324399185</v>
      </c>
      <c r="O135" s="163">
        <v>1.9206693806702577</v>
      </c>
      <c r="P135" s="324">
        <v>2605.3250139607958</v>
      </c>
      <c r="Q135" s="114">
        <v>7.8611786475585657</v>
      </c>
      <c r="R135" s="114">
        <v>268126.16827454558</v>
      </c>
      <c r="S135" s="114">
        <v>9.3970008305308532</v>
      </c>
      <c r="T135" s="114">
        <v>2707.1044021289363</v>
      </c>
      <c r="U135" s="114">
        <v>7.1245261009443839</v>
      </c>
      <c r="V135" s="114">
        <v>2651.8706629477888</v>
      </c>
      <c r="W135" s="114">
        <v>6.4607880123447332</v>
      </c>
      <c r="X135" s="114">
        <v>1122313.1411450764</v>
      </c>
      <c r="Y135" s="114">
        <v>10.250126807951437</v>
      </c>
      <c r="Z135" s="114">
        <v>2751.3848130184697</v>
      </c>
      <c r="AA135" s="114">
        <v>9.8723557858205844</v>
      </c>
      <c r="AB135" s="114">
        <v>227450.68232942143</v>
      </c>
      <c r="AC135" s="114">
        <v>11.022598967924157</v>
      </c>
      <c r="AD135" s="114">
        <v>1038517.3738652604</v>
      </c>
      <c r="AE135" s="114">
        <v>11.065918018092237</v>
      </c>
      <c r="AF135" s="382">
        <v>4.4990217624910294</v>
      </c>
      <c r="AG135" s="163">
        <v>0.11203516338928357</v>
      </c>
      <c r="AH135" s="436">
        <v>4.5633233782112086</v>
      </c>
      <c r="AI135" s="434">
        <v>0.11041483127367878</v>
      </c>
      <c r="AJ135" s="21">
        <v>0</v>
      </c>
      <c r="AL135" s="21">
        <v>0</v>
      </c>
    </row>
    <row r="136" spans="1:38" s="21" customFormat="1" x14ac:dyDescent="0.15">
      <c r="A136" s="113" t="s">
        <v>714</v>
      </c>
      <c r="B136" s="324">
        <v>23308.898629955107</v>
      </c>
      <c r="C136" s="114">
        <v>9.0911474108211002E-2</v>
      </c>
      <c r="D136" s="114">
        <v>38449.731720576587</v>
      </c>
      <c r="E136" s="114">
        <v>9.6827955856588835E-2</v>
      </c>
      <c r="F136" s="114">
        <v>21251.36737820768</v>
      </c>
      <c r="G136" s="114">
        <v>8.9024863038305077E-2</v>
      </c>
      <c r="H136" s="114">
        <v>21251.36737820768</v>
      </c>
      <c r="I136" s="114">
        <v>8.9024863038305077E-2</v>
      </c>
      <c r="J136" s="114">
        <v>82547.972611958758</v>
      </c>
      <c r="K136" s="114">
        <v>0.18604419756326976</v>
      </c>
      <c r="L136" s="114">
        <v>2687.6994002216948</v>
      </c>
      <c r="M136" s="114"/>
      <c r="N136" s="163">
        <v>2.1469063350520794</v>
      </c>
      <c r="O136" s="163">
        <v>1.9488183244992487</v>
      </c>
      <c r="P136" s="324">
        <v>2451.1128944424981</v>
      </c>
      <c r="Q136" s="114">
        <v>11.291889475379953</v>
      </c>
      <c r="R136" s="114">
        <v>459805.65067019768</v>
      </c>
      <c r="S136" s="114">
        <v>6.074257770547784</v>
      </c>
      <c r="T136" s="114">
        <v>2722.4787093328159</v>
      </c>
      <c r="U136" s="114">
        <v>10.127564165076164</v>
      </c>
      <c r="V136" s="114">
        <v>2575.2136401267603</v>
      </c>
      <c r="W136" s="114">
        <v>9.3458666425600292</v>
      </c>
      <c r="X136" s="114">
        <v>1990379.5376969837</v>
      </c>
      <c r="Y136" s="114">
        <v>6.4045519434954805</v>
      </c>
      <c r="Z136" s="114">
        <v>2802.4959583773011</v>
      </c>
      <c r="AA136" s="114">
        <v>11.851934844981217</v>
      </c>
      <c r="AB136" s="114">
        <v>418780.70530949393</v>
      </c>
      <c r="AC136" s="114">
        <v>6.6204511030380671</v>
      </c>
      <c r="AD136" s="114">
        <v>1905029.0691266481</v>
      </c>
      <c r="AE136" s="114">
        <v>6.6770586814728903</v>
      </c>
      <c r="AF136" s="382">
        <v>4.5174458169025007</v>
      </c>
      <c r="AG136" s="163">
        <v>5.5277688994310625E-2</v>
      </c>
      <c r="AH136" s="436">
        <v>4.5432685459215136</v>
      </c>
      <c r="AI136" s="434">
        <v>6.8966030066333575E-2</v>
      </c>
      <c r="AJ136" s="21">
        <v>0</v>
      </c>
      <c r="AL136" s="21">
        <v>0</v>
      </c>
    </row>
    <row r="137" spans="1:38" s="21" customFormat="1" x14ac:dyDescent="0.15">
      <c r="A137" s="113" t="s">
        <v>715</v>
      </c>
      <c r="B137" s="324">
        <v>22819.486126688629</v>
      </c>
      <c r="C137" s="114">
        <v>0.10747908429451988</v>
      </c>
      <c r="D137" s="114">
        <v>38287.252388504152</v>
      </c>
      <c r="E137" s="114">
        <v>8.031940691688004E-2</v>
      </c>
      <c r="F137" s="114">
        <v>20942.090571117114</v>
      </c>
      <c r="G137" s="114">
        <v>0.10021304217030746</v>
      </c>
      <c r="H137" s="114">
        <v>20942.090571117114</v>
      </c>
      <c r="I137" s="114">
        <v>0.10021304217030746</v>
      </c>
      <c r="J137" s="114">
        <v>82247.979774262334</v>
      </c>
      <c r="K137" s="114">
        <v>0.12671395794490609</v>
      </c>
      <c r="L137" s="114">
        <v>3565.5903904852589</v>
      </c>
      <c r="M137" s="114"/>
      <c r="N137" s="163">
        <v>2.1481818266739219</v>
      </c>
      <c r="O137" s="163">
        <v>2.0005450810387631</v>
      </c>
      <c r="P137" s="324">
        <v>3636.6528513346461</v>
      </c>
      <c r="Q137" s="114">
        <v>5.0887954199295606</v>
      </c>
      <c r="R137" s="114">
        <v>335712.19584213267</v>
      </c>
      <c r="S137" s="114">
        <v>8.4426399831039749</v>
      </c>
      <c r="T137" s="114">
        <v>3829.4376501746933</v>
      </c>
      <c r="U137" s="114">
        <v>6.6126521171551174</v>
      </c>
      <c r="V137" s="114">
        <v>3724.8170045914239</v>
      </c>
      <c r="W137" s="114">
        <v>5.0768751470851212</v>
      </c>
      <c r="X137" s="114">
        <v>1426093.8334910723</v>
      </c>
      <c r="Y137" s="114">
        <v>9.0662797836420914</v>
      </c>
      <c r="Z137" s="114">
        <v>4159.505236722538</v>
      </c>
      <c r="AA137" s="114">
        <v>7.1724988552555784</v>
      </c>
      <c r="AB137" s="114">
        <v>293700.12644903729</v>
      </c>
      <c r="AC137" s="114">
        <v>9.5974778658931399</v>
      </c>
      <c r="AD137" s="114">
        <v>1339686.3484800882</v>
      </c>
      <c r="AE137" s="114">
        <v>9.6379688087629951</v>
      </c>
      <c r="AF137" s="382">
        <v>4.4875850372993522</v>
      </c>
      <c r="AG137" s="163">
        <v>0.10417533775416622</v>
      </c>
      <c r="AH137" s="436">
        <v>4.5577807452845684</v>
      </c>
      <c r="AI137" s="434">
        <v>9.3982410957154275E-2</v>
      </c>
      <c r="AJ137" s="21">
        <v>0</v>
      </c>
      <c r="AL137" s="21">
        <v>0</v>
      </c>
    </row>
    <row r="138" spans="1:38" s="21" customFormat="1" x14ac:dyDescent="0.15">
      <c r="A138" s="113" t="s">
        <v>716</v>
      </c>
      <c r="B138" s="324">
        <v>23180.64912647747</v>
      </c>
      <c r="C138" s="114">
        <v>9.8100018179646031E-2</v>
      </c>
      <c r="D138" s="114">
        <v>38031.738698472393</v>
      </c>
      <c r="E138" s="114">
        <v>6.5765155468942793E-2</v>
      </c>
      <c r="F138" s="114">
        <v>21208.79113214395</v>
      </c>
      <c r="G138" s="114">
        <v>8.9449286904966924E-2</v>
      </c>
      <c r="H138" s="114">
        <v>21208.79113214395</v>
      </c>
      <c r="I138" s="114">
        <v>8.9449286904966924E-2</v>
      </c>
      <c r="J138" s="114">
        <v>81154.050805307328</v>
      </c>
      <c r="K138" s="114">
        <v>9.1200674510460669E-2</v>
      </c>
      <c r="L138" s="114">
        <v>2731.7933841427239</v>
      </c>
      <c r="M138" s="114"/>
      <c r="N138" s="163">
        <v>2.1338506621725135</v>
      </c>
      <c r="O138" s="163">
        <v>1.9391724817079674</v>
      </c>
      <c r="P138" s="324">
        <v>2601.8216606934211</v>
      </c>
      <c r="Q138" s="114">
        <v>8.551638469557254</v>
      </c>
      <c r="R138" s="114">
        <v>406928.12785613158</v>
      </c>
      <c r="S138" s="114">
        <v>7.4987536716638754</v>
      </c>
      <c r="T138" s="114">
        <v>2669.8562280337296</v>
      </c>
      <c r="U138" s="114">
        <v>9.6106968842254155</v>
      </c>
      <c r="V138" s="114">
        <v>2632.9351616428721</v>
      </c>
      <c r="W138" s="114">
        <v>7.641413738594931</v>
      </c>
      <c r="X138" s="114">
        <v>1745913.8552293407</v>
      </c>
      <c r="Y138" s="114">
        <v>7.9411124447907957</v>
      </c>
      <c r="Z138" s="114">
        <v>3248.0741984495003</v>
      </c>
      <c r="AA138" s="114">
        <v>10.582356641935</v>
      </c>
      <c r="AB138" s="114">
        <v>366263.45399601641</v>
      </c>
      <c r="AC138" s="114">
        <v>8.2849432437614592</v>
      </c>
      <c r="AD138" s="114">
        <v>1661511.7302255833</v>
      </c>
      <c r="AE138" s="114">
        <v>8.3311323712172989</v>
      </c>
      <c r="AF138" s="382">
        <v>4.4967428625564061</v>
      </c>
      <c r="AG138" s="163">
        <v>7.1357379063506698E-2</v>
      </c>
      <c r="AH138" s="436">
        <v>4.5303136215639652</v>
      </c>
      <c r="AI138" s="434">
        <v>7.1000458449827525E-2</v>
      </c>
      <c r="AJ138" s="21">
        <v>0</v>
      </c>
      <c r="AL138" s="21">
        <v>0</v>
      </c>
    </row>
    <row r="139" spans="1:38" s="21" customFormat="1" x14ac:dyDescent="0.15">
      <c r="A139" s="113" t="s">
        <v>717</v>
      </c>
      <c r="B139" s="324">
        <v>23182.859565505438</v>
      </c>
      <c r="C139" s="114">
        <v>9.8965374441564932E-2</v>
      </c>
      <c r="D139" s="114">
        <v>38372.159567070164</v>
      </c>
      <c r="E139" s="114">
        <v>6.8821553103811592E-2</v>
      </c>
      <c r="F139" s="114">
        <v>21179.95707229276</v>
      </c>
      <c r="G139" s="114">
        <v>9.8710176227699453E-2</v>
      </c>
      <c r="H139" s="114">
        <v>21179.95707229276</v>
      </c>
      <c r="I139" s="114">
        <v>9.8710176227699453E-2</v>
      </c>
      <c r="J139" s="114">
        <v>81972.004963960033</v>
      </c>
      <c r="K139" s="114">
        <v>0.11731790033269576</v>
      </c>
      <c r="L139" s="114">
        <v>2720.5706494821443</v>
      </c>
      <c r="M139" s="114"/>
      <c r="N139" s="163">
        <v>2.1362364247621328</v>
      </c>
      <c r="O139" s="163">
        <v>1.9422391149459652</v>
      </c>
      <c r="P139" s="324">
        <v>2567.9632949842289</v>
      </c>
      <c r="Q139" s="114">
        <v>12.305901372377321</v>
      </c>
      <c r="R139" s="114">
        <v>373542.9710472693</v>
      </c>
      <c r="S139" s="114">
        <v>8.7041231249466442</v>
      </c>
      <c r="T139" s="114">
        <v>2954.2596479326148</v>
      </c>
      <c r="U139" s="114">
        <v>9.2324189543364241</v>
      </c>
      <c r="V139" s="114">
        <v>2744.6239604972475</v>
      </c>
      <c r="W139" s="114">
        <v>9.4510975318667843</v>
      </c>
      <c r="X139" s="114">
        <v>1596786.571683106</v>
      </c>
      <c r="Y139" s="114">
        <v>9.2464489625401924</v>
      </c>
      <c r="Z139" s="114">
        <v>2732.2259826464542</v>
      </c>
      <c r="AA139" s="114">
        <v>12.672643815818571</v>
      </c>
      <c r="AB139" s="114">
        <v>332426.18751970161</v>
      </c>
      <c r="AC139" s="114">
        <v>9.7153952049881251</v>
      </c>
      <c r="AD139" s="114">
        <v>1512082.3407364977</v>
      </c>
      <c r="AE139" s="114">
        <v>9.7470549504644435</v>
      </c>
      <c r="AF139" s="382">
        <v>4.5045587401682132</v>
      </c>
      <c r="AG139" s="163">
        <v>7.8742130794621182E-2</v>
      </c>
      <c r="AH139" s="436">
        <v>4.543772781802307</v>
      </c>
      <c r="AI139" s="434">
        <v>7.9662216536030755E-2</v>
      </c>
      <c r="AJ139" s="21">
        <v>0</v>
      </c>
      <c r="AL139" s="21">
        <v>0</v>
      </c>
    </row>
    <row r="140" spans="1:38" s="21" customFormat="1" x14ac:dyDescent="0.15">
      <c r="A140" s="113" t="s">
        <v>718</v>
      </c>
      <c r="B140" s="324">
        <v>23314.476757927663</v>
      </c>
      <c r="C140" s="114">
        <v>8.3098332007614489E-2</v>
      </c>
      <c r="D140" s="114">
        <v>38270.351847768186</v>
      </c>
      <c r="E140" s="114">
        <v>7.0726053266867955E-2</v>
      </c>
      <c r="F140" s="114">
        <v>21222.266771011586</v>
      </c>
      <c r="G140" s="114">
        <v>9.1839872721349344E-2</v>
      </c>
      <c r="H140" s="114">
        <v>21222.266771011586</v>
      </c>
      <c r="I140" s="114">
        <v>9.1839872721349344E-2</v>
      </c>
      <c r="J140" s="114">
        <v>81627.899158896224</v>
      </c>
      <c r="K140" s="114">
        <v>0.11442503394045266</v>
      </c>
      <c r="L140" s="114">
        <v>4518.6656042033674</v>
      </c>
      <c r="M140" s="114"/>
      <c r="N140" s="163">
        <v>2.1329278466943733</v>
      </c>
      <c r="O140" s="163">
        <v>2.0291353108259278</v>
      </c>
      <c r="P140" s="324">
        <v>4521.8823039265762</v>
      </c>
      <c r="Q140" s="114">
        <v>5.8081249370349575</v>
      </c>
      <c r="R140" s="114">
        <v>355114.98205066926</v>
      </c>
      <c r="S140" s="114">
        <v>9.988009788625714</v>
      </c>
      <c r="T140" s="114">
        <v>4720.4055598605974</v>
      </c>
      <c r="U140" s="114">
        <v>5.6971245487634539</v>
      </c>
      <c r="V140" s="114">
        <v>4612.6707626977659</v>
      </c>
      <c r="W140" s="114">
        <v>4.7256896342626344</v>
      </c>
      <c r="X140" s="114">
        <v>1506920.2034573653</v>
      </c>
      <c r="Y140" s="114">
        <v>10.706804423270663</v>
      </c>
      <c r="Z140" s="114">
        <v>4660.5638844275818</v>
      </c>
      <c r="AA140" s="114">
        <v>6.6078584029238314</v>
      </c>
      <c r="AB140" s="114">
        <v>312231.95944020327</v>
      </c>
      <c r="AC140" s="114">
        <v>11.303003041990806</v>
      </c>
      <c r="AD140" s="114">
        <v>1420631.7404140406</v>
      </c>
      <c r="AE140" s="114">
        <v>11.343346141542529</v>
      </c>
      <c r="AF140" s="382">
        <v>4.4536510262972513</v>
      </c>
      <c r="AG140" s="163">
        <v>0.11036313096061674</v>
      </c>
      <c r="AH140" s="436">
        <v>4.544858541663471</v>
      </c>
      <c r="AI140" s="434">
        <v>7.5329589320181536E-2</v>
      </c>
      <c r="AJ140" s="21">
        <v>0</v>
      </c>
      <c r="AL140" s="21">
        <v>0</v>
      </c>
    </row>
    <row r="141" spans="1:38" s="21" customFormat="1" x14ac:dyDescent="0.15">
      <c r="A141" s="113" t="s">
        <v>719</v>
      </c>
      <c r="B141" s="324">
        <v>23212.060023950064</v>
      </c>
      <c r="C141" s="114">
        <v>9.8695249678347294E-2</v>
      </c>
      <c r="D141" s="114">
        <v>38388.505344850011</v>
      </c>
      <c r="E141" s="114">
        <v>7.6628487101143852E-2</v>
      </c>
      <c r="F141" s="114">
        <v>21297.709929794804</v>
      </c>
      <c r="G141" s="114">
        <v>9.5846580059557068E-2</v>
      </c>
      <c r="H141" s="114">
        <v>21297.709929794804</v>
      </c>
      <c r="I141" s="114">
        <v>9.5846580059557068E-2</v>
      </c>
      <c r="J141" s="114">
        <v>81393.020803081774</v>
      </c>
      <c r="K141" s="114">
        <v>0.12424781948087864</v>
      </c>
      <c r="L141" s="114">
        <v>2977.4180943559168</v>
      </c>
      <c r="M141" s="114"/>
      <c r="N141" s="163">
        <v>2.1202445907157728</v>
      </c>
      <c r="O141" s="163">
        <v>1.924258617279285</v>
      </c>
      <c r="P141" s="324">
        <v>2980.7436047524416</v>
      </c>
      <c r="Q141" s="114">
        <v>7.2042808402252732</v>
      </c>
      <c r="R141" s="114">
        <v>375015.28124312655</v>
      </c>
      <c r="S141" s="114">
        <v>6.7656114529266498</v>
      </c>
      <c r="T141" s="114">
        <v>2974.6889858169238</v>
      </c>
      <c r="U141" s="114">
        <v>7.8315393205234383</v>
      </c>
      <c r="V141" s="114">
        <v>2977.974712417807</v>
      </c>
      <c r="W141" s="114">
        <v>5.306537833912591</v>
      </c>
      <c r="X141" s="114">
        <v>1606348.4311616383</v>
      </c>
      <c r="Y141" s="114">
        <v>7.2129417382460126</v>
      </c>
      <c r="Z141" s="114">
        <v>2972.9996398347507</v>
      </c>
      <c r="AA141" s="114">
        <v>9.6591219096296292</v>
      </c>
      <c r="AB141" s="114">
        <v>333648.80118585855</v>
      </c>
      <c r="AC141" s="114">
        <v>7.5692877223428843</v>
      </c>
      <c r="AD141" s="114">
        <v>1521982.4107187227</v>
      </c>
      <c r="AE141" s="114">
        <v>7.6025284364330927</v>
      </c>
      <c r="AF141" s="382">
        <v>4.5061684556070949</v>
      </c>
      <c r="AG141" s="163">
        <v>7.0454676204744715E-2</v>
      </c>
      <c r="AH141" s="436">
        <v>4.5574810724156034</v>
      </c>
      <c r="AI141" s="434">
        <v>7.0917027335567137E-2</v>
      </c>
      <c r="AJ141" s="21">
        <v>0</v>
      </c>
      <c r="AL141" s="21">
        <v>0</v>
      </c>
    </row>
    <row r="142" spans="1:38" s="21" customFormat="1" x14ac:dyDescent="0.15">
      <c r="A142" s="113" t="s">
        <v>720</v>
      </c>
      <c r="B142" s="324">
        <v>22999.861960734783</v>
      </c>
      <c r="C142" s="114">
        <v>8.8853508670561257E-2</v>
      </c>
      <c r="D142" s="114">
        <v>37924.719202183362</v>
      </c>
      <c r="E142" s="114">
        <v>4.5418614406159456E-2</v>
      </c>
      <c r="F142" s="114">
        <v>21076.813423941472</v>
      </c>
      <c r="G142" s="114">
        <v>9.3308860759557161E-2</v>
      </c>
      <c r="H142" s="114">
        <v>21076.813423941472</v>
      </c>
      <c r="I142" s="114">
        <v>9.3308860759557161E-2</v>
      </c>
      <c r="J142" s="114">
        <v>82082.036113087495</v>
      </c>
      <c r="K142" s="114">
        <v>4.4953484781417211E-2</v>
      </c>
      <c r="L142" s="114">
        <v>77.861657251905143</v>
      </c>
      <c r="M142" s="114"/>
      <c r="N142" s="163">
        <v>2.1643413013948423</v>
      </c>
      <c r="O142" s="163">
        <v>1.8140161401306132</v>
      </c>
      <c r="P142" s="324">
        <v>91.817322153535684</v>
      </c>
      <c r="Q142" s="114">
        <v>178.83043943382955</v>
      </c>
      <c r="R142" s="114">
        <v>470350.5274788824</v>
      </c>
      <c r="S142" s="114">
        <v>5.4255376163845126</v>
      </c>
      <c r="T142" s="114">
        <v>168.93381478227002</v>
      </c>
      <c r="U142" s="114">
        <v>85.463995123455547</v>
      </c>
      <c r="V142" s="114">
        <v>127.08416018045887</v>
      </c>
      <c r="W142" s="114">
        <v>79.384716441719149</v>
      </c>
      <c r="X142" s="114">
        <v>2072852.3899816417</v>
      </c>
      <c r="Y142" s="114">
        <v>5.7100928169868155</v>
      </c>
      <c r="Z142" s="114">
        <v>1804.1382440058558</v>
      </c>
      <c r="AA142" s="114">
        <v>13.780225363382025</v>
      </c>
      <c r="AB142" s="114">
        <v>432298.72411651863</v>
      </c>
      <c r="AC142" s="114">
        <v>5.9038143215568519</v>
      </c>
      <c r="AD142" s="114">
        <v>1988966.2156245473</v>
      </c>
      <c r="AE142" s="114">
        <v>5.9503491405823166</v>
      </c>
      <c r="AF142" s="382">
        <v>4.5922186893085799</v>
      </c>
      <c r="AG142" s="163">
        <v>5.4099776183363799E-2</v>
      </c>
      <c r="AH142" s="436">
        <v>4.5949529919231589</v>
      </c>
      <c r="AI142" s="434">
        <v>5.6554438163416945E-2</v>
      </c>
      <c r="AJ142" s="21">
        <v>0</v>
      </c>
      <c r="AL142" s="21">
        <v>0</v>
      </c>
    </row>
    <row r="143" spans="1:38" s="21" customFormat="1" x14ac:dyDescent="0.15">
      <c r="A143" s="113" t="s">
        <v>721</v>
      </c>
      <c r="B143" s="324">
        <v>21748.899787345352</v>
      </c>
      <c r="C143" s="114">
        <v>0.11099791563456955</v>
      </c>
      <c r="D143" s="114">
        <v>35833.994704485463</v>
      </c>
      <c r="E143" s="114">
        <v>5.3189411700532256E-2</v>
      </c>
      <c r="F143" s="114">
        <v>20063.961322989209</v>
      </c>
      <c r="G143" s="114">
        <v>0.11204363956633968</v>
      </c>
      <c r="H143" s="114">
        <v>20063.961322989209</v>
      </c>
      <c r="I143" s="114">
        <v>0.11204363956633968</v>
      </c>
      <c r="J143" s="114">
        <v>76429.415864145893</v>
      </c>
      <c r="K143" s="114">
        <v>4.9459070494354766E-2</v>
      </c>
      <c r="L143" s="114">
        <v>937.3986276054934</v>
      </c>
      <c r="M143" s="114"/>
      <c r="N143" s="163">
        <v>2.1328745649052339</v>
      </c>
      <c r="O143" s="163">
        <v>1.8355913053770756</v>
      </c>
      <c r="P143" s="324">
        <v>938.6392511562558</v>
      </c>
      <c r="Q143" s="114">
        <v>17.405429137987852</v>
      </c>
      <c r="R143" s="114">
        <v>584797.17183187488</v>
      </c>
      <c r="S143" s="114">
        <v>8.4978114650490824</v>
      </c>
      <c r="T143" s="114">
        <v>998.24793496021584</v>
      </c>
      <c r="U143" s="114">
        <v>15.240410345705213</v>
      </c>
      <c r="V143" s="114">
        <v>965.89943539250078</v>
      </c>
      <c r="W143" s="114">
        <v>11.943147768231169</v>
      </c>
      <c r="X143" s="114">
        <v>2612989.715457296</v>
      </c>
      <c r="Y143" s="114">
        <v>8.8799143699424423</v>
      </c>
      <c r="Z143" s="114">
        <v>2138.0150830858265</v>
      </c>
      <c r="AA143" s="114">
        <v>10.18226240829329</v>
      </c>
      <c r="AB143" s="114">
        <v>547997.27769199701</v>
      </c>
      <c r="AC143" s="114">
        <v>9.0730024779340823</v>
      </c>
      <c r="AD143" s="114">
        <v>2534422.284510063</v>
      </c>
      <c r="AE143" s="114">
        <v>9.1532789207540066</v>
      </c>
      <c r="AF143" s="382">
        <v>4.5977130080210298</v>
      </c>
      <c r="AG143" s="163">
        <v>7.3952765628509901E-2</v>
      </c>
      <c r="AH143" s="436">
        <v>4.6107862409280091</v>
      </c>
      <c r="AI143" s="434">
        <v>6.9384899661279906E-2</v>
      </c>
      <c r="AJ143" s="21">
        <v>0</v>
      </c>
      <c r="AL143" s="21">
        <v>0</v>
      </c>
    </row>
    <row r="144" spans="1:38" s="21" customFormat="1" x14ac:dyDescent="0.15">
      <c r="A144" s="113" t="s">
        <v>722</v>
      </c>
      <c r="B144" s="324">
        <v>21403.176010028525</v>
      </c>
      <c r="C144" s="114">
        <v>9.6633782686261341E-2</v>
      </c>
      <c r="D144" s="114">
        <v>35157.419278234171</v>
      </c>
      <c r="E144" s="114">
        <v>5.3820371927900033E-2</v>
      </c>
      <c r="F144" s="114">
        <v>19831.718193211927</v>
      </c>
      <c r="G144" s="114">
        <v>0.10278500394244072</v>
      </c>
      <c r="H144" s="114">
        <v>19831.718193211927</v>
      </c>
      <c r="I144" s="114">
        <v>0.10278500394244072</v>
      </c>
      <c r="J144" s="114">
        <v>75084.981399863958</v>
      </c>
      <c r="K144" s="114">
        <v>4.3102275482306759E-2</v>
      </c>
      <c r="L144" s="114">
        <v>1333.5925209698257</v>
      </c>
      <c r="M144" s="114"/>
      <c r="N144" s="163">
        <v>2.1356795504711235</v>
      </c>
      <c r="O144" s="163">
        <v>1.857011336107449</v>
      </c>
      <c r="P144" s="324">
        <v>1318.2097168302171</v>
      </c>
      <c r="Q144" s="114">
        <v>13.035143189562715</v>
      </c>
      <c r="R144" s="114">
        <v>326679.597103782</v>
      </c>
      <c r="S144" s="114">
        <v>5.6268155965980728</v>
      </c>
      <c r="T144" s="114">
        <v>1319.5162777382334</v>
      </c>
      <c r="U144" s="114">
        <v>12.857136146455117</v>
      </c>
      <c r="V144" s="114">
        <v>1318.8072319705532</v>
      </c>
      <c r="W144" s="114">
        <v>9.3751578164359071</v>
      </c>
      <c r="X144" s="114">
        <v>1407908.7509625526</v>
      </c>
      <c r="Y144" s="114">
        <v>6.0491954594923145</v>
      </c>
      <c r="Z144" s="114">
        <v>1340.1834896824744</v>
      </c>
      <c r="AA144" s="114">
        <v>18.133270120946154</v>
      </c>
      <c r="AB144" s="114">
        <v>290203.37059357727</v>
      </c>
      <c r="AC144" s="114">
        <v>6.3430774700838226</v>
      </c>
      <c r="AD144" s="114">
        <v>1331483.586073006</v>
      </c>
      <c r="AE144" s="114">
        <v>6.3997734669763044</v>
      </c>
      <c r="AF144" s="382">
        <v>4.5568661682664855</v>
      </c>
      <c r="AG144" s="163">
        <v>6.7825025033059677E-2</v>
      </c>
      <c r="AH144" s="436">
        <v>4.5834179210612183</v>
      </c>
      <c r="AI144" s="434">
        <v>6.5764828363917352E-2</v>
      </c>
      <c r="AJ144" s="21">
        <v>0</v>
      </c>
      <c r="AL144" s="21">
        <v>0</v>
      </c>
    </row>
    <row r="145" spans="1:38" s="21" customFormat="1" x14ac:dyDescent="0.15">
      <c r="A145" s="113" t="s">
        <v>723</v>
      </c>
      <c r="B145" s="324">
        <v>21629.624167608643</v>
      </c>
      <c r="C145" s="114">
        <v>0.10721081049943917</v>
      </c>
      <c r="D145" s="114">
        <v>35066.777890463141</v>
      </c>
      <c r="E145" s="114">
        <v>5.762303881833488E-2</v>
      </c>
      <c r="F145" s="114">
        <v>19744.615408420352</v>
      </c>
      <c r="G145" s="114">
        <v>0.10721673085392719</v>
      </c>
      <c r="H145" s="114">
        <v>19744.615408420352</v>
      </c>
      <c r="I145" s="114">
        <v>0.10721673085392719</v>
      </c>
      <c r="J145" s="114">
        <v>74304.871329261019</v>
      </c>
      <c r="K145" s="114">
        <v>4.8708173413842135E-2</v>
      </c>
      <c r="L145" s="114">
        <v>973.42471674417982</v>
      </c>
      <c r="M145" s="114"/>
      <c r="N145" s="163">
        <v>2.1189534881523624</v>
      </c>
      <c r="O145" s="163">
        <v>1.8212792726072804</v>
      </c>
      <c r="P145" s="324">
        <v>855.64750355694684</v>
      </c>
      <c r="Q145" s="114">
        <v>23.64274354281833</v>
      </c>
      <c r="R145" s="114">
        <v>571913.29668517562</v>
      </c>
      <c r="S145" s="114">
        <v>4.7308763233183617</v>
      </c>
      <c r="T145" s="114">
        <v>1290.2315071904386</v>
      </c>
      <c r="U145" s="114">
        <v>14.799645337511535</v>
      </c>
      <c r="V145" s="114">
        <v>1054.3910296535082</v>
      </c>
      <c r="W145" s="114">
        <v>12.262103842827898</v>
      </c>
      <c r="X145" s="114">
        <v>2547091.1506084451</v>
      </c>
      <c r="Y145" s="114">
        <v>4.9512950235964102</v>
      </c>
      <c r="Z145" s="114">
        <v>2190.4558753976557</v>
      </c>
      <c r="AA145" s="114">
        <v>10.446210687407918</v>
      </c>
      <c r="AB145" s="114">
        <v>535792.12776505924</v>
      </c>
      <c r="AC145" s="114">
        <v>5.0551258443819451</v>
      </c>
      <c r="AD145" s="114">
        <v>2470595.8234037869</v>
      </c>
      <c r="AE145" s="114">
        <v>5.1045234703769937</v>
      </c>
      <c r="AF145" s="382">
        <v>4.5929456147230967</v>
      </c>
      <c r="AG145" s="163">
        <v>3.8345066792718416E-2</v>
      </c>
      <c r="AH145" s="436">
        <v>4.6065132488817246</v>
      </c>
      <c r="AI145" s="434">
        <v>5.3215847381832278E-2</v>
      </c>
      <c r="AJ145" s="21">
        <v>0</v>
      </c>
      <c r="AL145" s="21">
        <v>0</v>
      </c>
    </row>
    <row r="146" spans="1:38" s="21" customFormat="1" x14ac:dyDescent="0.15">
      <c r="A146" s="113" t="s">
        <v>724</v>
      </c>
      <c r="B146" s="324">
        <v>21408.088086717322</v>
      </c>
      <c r="C146" s="114">
        <v>0.10525104761643354</v>
      </c>
      <c r="D146" s="114">
        <v>34843.59544792922</v>
      </c>
      <c r="E146" s="114">
        <v>5.3534853819512784E-2</v>
      </c>
      <c r="F146" s="114">
        <v>19696.434463277608</v>
      </c>
      <c r="G146" s="114">
        <v>0.10194094686900017</v>
      </c>
      <c r="H146" s="114">
        <v>19696.434463277608</v>
      </c>
      <c r="I146" s="114">
        <v>0.10194094686900017</v>
      </c>
      <c r="J146" s="114">
        <v>74193.934341610919</v>
      </c>
      <c r="K146" s="114">
        <v>3.9873569222512804E-2</v>
      </c>
      <c r="L146" s="114">
        <v>1143.6362666086088</v>
      </c>
      <c r="M146" s="114"/>
      <c r="N146" s="163">
        <v>2.1293420896384654</v>
      </c>
      <c r="O146" s="163">
        <v>1.8447667819189348</v>
      </c>
      <c r="P146" s="324">
        <v>1333.8499538182737</v>
      </c>
      <c r="Q146" s="114">
        <v>12.859015181644445</v>
      </c>
      <c r="R146" s="114">
        <v>559827.44676192955</v>
      </c>
      <c r="S146" s="114">
        <v>3.3881112202467532</v>
      </c>
      <c r="T146" s="114">
        <v>1151.259055001462</v>
      </c>
      <c r="U146" s="114">
        <v>17.916073646183175</v>
      </c>
      <c r="V146" s="114">
        <v>1250.3476648233066</v>
      </c>
      <c r="W146" s="114">
        <v>10.147824327653968</v>
      </c>
      <c r="X146" s="114">
        <v>2482186.0241343789</v>
      </c>
      <c r="Y146" s="114">
        <v>3.5528141718485076</v>
      </c>
      <c r="Z146" s="114">
        <v>2115.5439313514148</v>
      </c>
      <c r="AA146" s="114">
        <v>9.7416245461919182</v>
      </c>
      <c r="AB146" s="114">
        <v>523733.50364917709</v>
      </c>
      <c r="AC146" s="114">
        <v>3.6234210327369825</v>
      </c>
      <c r="AD146" s="114">
        <v>2405876.5458614156</v>
      </c>
      <c r="AE146" s="114">
        <v>3.66371218600935</v>
      </c>
      <c r="AF146" s="382">
        <v>4.5777510319944064</v>
      </c>
      <c r="AG146" s="163">
        <v>4.184790772864283E-2</v>
      </c>
      <c r="AH146" s="436">
        <v>4.5908255075051709</v>
      </c>
      <c r="AI146" s="434">
        <v>5.1563785792372183E-2</v>
      </c>
      <c r="AJ146" s="21">
        <v>0</v>
      </c>
      <c r="AL146" s="21">
        <v>0</v>
      </c>
    </row>
    <row r="147" spans="1:38" s="21" customFormat="1" x14ac:dyDescent="0.15">
      <c r="A147" s="113" t="s">
        <v>725</v>
      </c>
      <c r="B147" s="324">
        <v>21537.386584278112</v>
      </c>
      <c r="C147" s="114">
        <v>0.10667543737546259</v>
      </c>
      <c r="D147" s="114">
        <v>34815.204276593417</v>
      </c>
      <c r="E147" s="114">
        <v>5.2892921044770086E-2</v>
      </c>
      <c r="F147" s="114">
        <v>19639.270279277982</v>
      </c>
      <c r="G147" s="114">
        <v>9.6438187181479493E-2</v>
      </c>
      <c r="H147" s="114">
        <v>19639.270279277982</v>
      </c>
      <c r="I147" s="114">
        <v>9.6438187181479493E-2</v>
      </c>
      <c r="J147" s="114">
        <v>73622.505648514867</v>
      </c>
      <c r="K147" s="114">
        <v>4.886057409827959E-2</v>
      </c>
      <c r="L147" s="114">
        <v>1084.5261825914381</v>
      </c>
      <c r="M147" s="114"/>
      <c r="N147" s="163">
        <v>2.1146653359725351</v>
      </c>
      <c r="O147" s="163">
        <v>1.8046557882351557</v>
      </c>
      <c r="P147" s="324">
        <v>889.81262396320926</v>
      </c>
      <c r="Q147" s="114">
        <v>20.234260901575212</v>
      </c>
      <c r="R147" s="114">
        <v>650489.45597444731</v>
      </c>
      <c r="S147" s="114">
        <v>4.2242117492266331</v>
      </c>
      <c r="T147" s="114">
        <v>1330.2501113471146</v>
      </c>
      <c r="U147" s="114">
        <v>11.759105331100253</v>
      </c>
      <c r="V147" s="114">
        <v>1091.233059450773</v>
      </c>
      <c r="W147" s="114">
        <v>11.406526565906567</v>
      </c>
      <c r="X147" s="114">
        <v>2902096.5530180326</v>
      </c>
      <c r="Y147" s="114">
        <v>4.4226616115306543</v>
      </c>
      <c r="Z147" s="114">
        <v>1489.7898774469111</v>
      </c>
      <c r="AA147" s="114">
        <v>15.875734117881279</v>
      </c>
      <c r="AB147" s="114">
        <v>614583.01863840315</v>
      </c>
      <c r="AC147" s="114">
        <v>4.4745985803275081</v>
      </c>
      <c r="AD147" s="114">
        <v>2826984.2574920715</v>
      </c>
      <c r="AE147" s="114">
        <v>4.5403949925983413</v>
      </c>
      <c r="AF147" s="382">
        <v>4.5801329531915638</v>
      </c>
      <c r="AG147" s="163">
        <v>6.4020166420398941E-2</v>
      </c>
      <c r="AH147" s="436">
        <v>4.5930100356772119</v>
      </c>
      <c r="AI147" s="434">
        <v>6.2820817571129367E-2</v>
      </c>
      <c r="AJ147" s="21">
        <v>0</v>
      </c>
      <c r="AL147" s="21">
        <v>0</v>
      </c>
    </row>
    <row r="148" spans="1:38" s="21" customFormat="1" x14ac:dyDescent="0.15">
      <c r="A148" s="113" t="s">
        <v>726</v>
      </c>
      <c r="B148" s="324">
        <v>21266.466295902716</v>
      </c>
      <c r="C148" s="114">
        <v>0.11476052469721623</v>
      </c>
      <c r="D148" s="114">
        <v>35091.340611192594</v>
      </c>
      <c r="E148" s="114">
        <v>0.10348817930799822</v>
      </c>
      <c r="F148" s="114">
        <v>19676.979510319154</v>
      </c>
      <c r="G148" s="114">
        <v>0.10292426345650167</v>
      </c>
      <c r="H148" s="114">
        <v>19676.979510319154</v>
      </c>
      <c r="I148" s="114">
        <v>0.10292426345650167</v>
      </c>
      <c r="J148" s="114">
        <v>74917.311296422631</v>
      </c>
      <c r="K148" s="114">
        <v>0.17612075675592007</v>
      </c>
      <c r="L148" s="114">
        <v>1388.5428530840443</v>
      </c>
      <c r="M148" s="114"/>
      <c r="N148" s="163">
        <v>2.1349230320521668</v>
      </c>
      <c r="O148" s="163">
        <v>1.8738436627492714</v>
      </c>
      <c r="P148" s="324">
        <v>1627.214879865254</v>
      </c>
      <c r="Q148" s="114">
        <v>11.898518879098546</v>
      </c>
      <c r="R148" s="114">
        <v>580815.82400389004</v>
      </c>
      <c r="S148" s="114">
        <v>6.6172432056365</v>
      </c>
      <c r="T148" s="114">
        <v>1214.6722702891984</v>
      </c>
      <c r="U148" s="114">
        <v>13.044506707503629</v>
      </c>
      <c r="V148" s="114">
        <v>1438.5513022675636</v>
      </c>
      <c r="W148" s="114">
        <v>8.7132325215538735</v>
      </c>
      <c r="X148" s="114">
        <v>2591409.0955904275</v>
      </c>
      <c r="Y148" s="114">
        <v>6.92914692050591</v>
      </c>
      <c r="Z148" s="114">
        <v>2361.8488470858865</v>
      </c>
      <c r="AA148" s="114">
        <v>9.8724912687367716</v>
      </c>
      <c r="AB148" s="114">
        <v>544285.93209042982</v>
      </c>
      <c r="AC148" s="114">
        <v>7.066076224160768</v>
      </c>
      <c r="AD148" s="114">
        <v>2514129.9354469194</v>
      </c>
      <c r="AE148" s="114">
        <v>7.1409595898447016</v>
      </c>
      <c r="AF148" s="382">
        <v>4.5876706741420783</v>
      </c>
      <c r="AG148" s="163">
        <v>8.1001829687186E-2</v>
      </c>
      <c r="AH148" s="436">
        <v>4.6062667097862553</v>
      </c>
      <c r="AI148" s="434">
        <v>7.2945718816634947E-2</v>
      </c>
      <c r="AJ148" s="21">
        <v>0</v>
      </c>
      <c r="AL148" s="21">
        <v>0</v>
      </c>
    </row>
    <row r="149" spans="1:38" s="21" customFormat="1" x14ac:dyDescent="0.15">
      <c r="A149" s="113" t="s">
        <v>727</v>
      </c>
      <c r="B149" s="324">
        <v>21312.599562118707</v>
      </c>
      <c r="C149" s="114">
        <v>0.11397863443448412</v>
      </c>
      <c r="D149" s="114">
        <v>34797.491002484952</v>
      </c>
      <c r="E149" s="114">
        <v>6.154303047382078E-2</v>
      </c>
      <c r="F149" s="114">
        <v>19674.793599390243</v>
      </c>
      <c r="G149" s="114">
        <v>0.10843305986787631</v>
      </c>
      <c r="H149" s="114">
        <v>19674.793599390243</v>
      </c>
      <c r="I149" s="114">
        <v>0.10843305986787631</v>
      </c>
      <c r="J149" s="114">
        <v>73489.362929272553</v>
      </c>
      <c r="K149" s="114">
        <v>5.2926418211238821E-2</v>
      </c>
      <c r="L149" s="114">
        <v>1243.6951243887779</v>
      </c>
      <c r="M149" s="114"/>
      <c r="N149" s="163">
        <v>2.1119155666718772</v>
      </c>
      <c r="O149" s="163">
        <v>1.8326431144873521</v>
      </c>
      <c r="P149" s="324">
        <v>1207.4690120200771</v>
      </c>
      <c r="Q149" s="114">
        <v>16.341613872373998</v>
      </c>
      <c r="R149" s="114">
        <v>533747.52685164742</v>
      </c>
      <c r="S149" s="114">
        <v>3.0345063124289942</v>
      </c>
      <c r="T149" s="114">
        <v>1419.4926900305504</v>
      </c>
      <c r="U149" s="114">
        <v>11.742422454142462</v>
      </c>
      <c r="V149" s="114">
        <v>1304.4314704434221</v>
      </c>
      <c r="W149" s="114">
        <v>11.094408451474969</v>
      </c>
      <c r="X149" s="114">
        <v>2364322.925466131</v>
      </c>
      <c r="Y149" s="114">
        <v>3.1887727986120682</v>
      </c>
      <c r="Z149" s="114">
        <v>1504.3139314382836</v>
      </c>
      <c r="AA149" s="114">
        <v>14.752064431329615</v>
      </c>
      <c r="AB149" s="114">
        <v>497645.604378719</v>
      </c>
      <c r="AC149" s="114">
        <v>3.2543740463971131</v>
      </c>
      <c r="AD149" s="114">
        <v>2289329.2486054194</v>
      </c>
      <c r="AE149" s="114">
        <v>3.2934781769877706</v>
      </c>
      <c r="AF149" s="382">
        <v>4.5827322441766629</v>
      </c>
      <c r="AG149" s="163">
        <v>5.5344524521351399E-2</v>
      </c>
      <c r="AH149" s="436">
        <v>4.59731479075141</v>
      </c>
      <c r="AI149" s="434">
        <v>5.7871023434145664E-2</v>
      </c>
      <c r="AJ149" s="21">
        <v>0</v>
      </c>
      <c r="AL149" s="21">
        <v>0</v>
      </c>
    </row>
    <row r="150" spans="1:38" s="21" customFormat="1" x14ac:dyDescent="0.15">
      <c r="A150" s="113" t="s">
        <v>728</v>
      </c>
      <c r="B150" s="324">
        <v>21258.594833867235</v>
      </c>
      <c r="C150" s="114">
        <v>0.11383588525792011</v>
      </c>
      <c r="D150" s="114">
        <v>34788.493301020484</v>
      </c>
      <c r="E150" s="114">
        <v>5.615181571849906E-2</v>
      </c>
      <c r="F150" s="114">
        <v>19713.609705525836</v>
      </c>
      <c r="G150" s="114">
        <v>0.10429907175792379</v>
      </c>
      <c r="H150" s="114">
        <v>19713.609705525836</v>
      </c>
      <c r="I150" s="114">
        <v>0.10429907175792379</v>
      </c>
      <c r="J150" s="114">
        <v>73742.736725946641</v>
      </c>
      <c r="K150" s="114">
        <v>4.0310235590899336E-2</v>
      </c>
      <c r="L150" s="114">
        <v>1325.3574083379906</v>
      </c>
      <c r="M150" s="114"/>
      <c r="N150" s="163">
        <v>2.1197450573055856</v>
      </c>
      <c r="O150" s="163">
        <v>1.8367079272889721</v>
      </c>
      <c r="P150" s="324">
        <v>1463.8424359205662</v>
      </c>
      <c r="Q150" s="114">
        <v>10.565532988441928</v>
      </c>
      <c r="R150" s="114">
        <v>459780.58632376324</v>
      </c>
      <c r="S150" s="114">
        <v>6.987786693520782</v>
      </c>
      <c r="T150" s="114">
        <v>1409.9293375304221</v>
      </c>
      <c r="U150" s="114">
        <v>11.294785886392257</v>
      </c>
      <c r="V150" s="114">
        <v>1439.1869511644265</v>
      </c>
      <c r="W150" s="114">
        <v>7.8011607644356884</v>
      </c>
      <c r="X150" s="114">
        <v>2026788.4237023587</v>
      </c>
      <c r="Y150" s="114">
        <v>7.4065397479792026</v>
      </c>
      <c r="Z150" s="114">
        <v>1467.6224677008386</v>
      </c>
      <c r="AA150" s="114">
        <v>15.872655404387066</v>
      </c>
      <c r="AB150" s="114">
        <v>423552.90607157821</v>
      </c>
      <c r="AC150" s="114">
        <v>7.5877996148783602</v>
      </c>
      <c r="AD150" s="114">
        <v>1951578.0645087112</v>
      </c>
      <c r="AE150" s="114">
        <v>7.6942311570760307</v>
      </c>
      <c r="AF150" s="382">
        <v>4.5669601062195797</v>
      </c>
      <c r="AG150" s="163">
        <v>7.6467593593333397E-2</v>
      </c>
      <c r="AH150" s="436">
        <v>4.5936754973167666</v>
      </c>
      <c r="AI150" s="434">
        <v>8.8160956543325564E-2</v>
      </c>
      <c r="AJ150" s="21">
        <v>0</v>
      </c>
      <c r="AL150" s="21">
        <v>0</v>
      </c>
    </row>
    <row r="151" spans="1:38" s="21" customFormat="1" x14ac:dyDescent="0.15">
      <c r="A151" s="113" t="s">
        <v>729</v>
      </c>
      <c r="B151" s="324">
        <v>21485.765704277146</v>
      </c>
      <c r="C151" s="114">
        <v>0.10858486768067696</v>
      </c>
      <c r="D151" s="114">
        <v>34707.069857991999</v>
      </c>
      <c r="E151" s="114">
        <v>5.4767071319099608E-2</v>
      </c>
      <c r="F151" s="114">
        <v>19663.32279919153</v>
      </c>
      <c r="G151" s="114">
        <v>0.10294700571595457</v>
      </c>
      <c r="H151" s="114">
        <v>19663.32279919153</v>
      </c>
      <c r="I151" s="114">
        <v>0.10294700571595457</v>
      </c>
      <c r="J151" s="114">
        <v>73018.736519359925</v>
      </c>
      <c r="K151" s="114">
        <v>4.7261062948382046E-2</v>
      </c>
      <c r="L151" s="114">
        <v>1372.2093154526035</v>
      </c>
      <c r="M151" s="114"/>
      <c r="N151" s="163">
        <v>2.1038577102049971</v>
      </c>
      <c r="O151" s="163">
        <v>1.8039831262025225</v>
      </c>
      <c r="P151" s="324">
        <v>1462.9054628392669</v>
      </c>
      <c r="Q151" s="114">
        <v>13.757532755041023</v>
      </c>
      <c r="R151" s="114">
        <v>336649.57248566544</v>
      </c>
      <c r="S151" s="114">
        <v>5.049236179701162</v>
      </c>
      <c r="T151" s="114">
        <v>1415.0202428580133</v>
      </c>
      <c r="U151" s="114">
        <v>12.453876371879783</v>
      </c>
      <c r="V151" s="114">
        <v>1441.0066414666098</v>
      </c>
      <c r="W151" s="114">
        <v>9.7019329583423222</v>
      </c>
      <c r="X151" s="114">
        <v>1457687.9979722416</v>
      </c>
      <c r="Y151" s="114">
        <v>5.3987067890414258</v>
      </c>
      <c r="Z151" s="114">
        <v>1799.6991763511508</v>
      </c>
      <c r="AA151" s="114">
        <v>12.313256798872674</v>
      </c>
      <c r="AB151" s="114">
        <v>300501.49598620663</v>
      </c>
      <c r="AC151" s="114">
        <v>5.6557551749039918</v>
      </c>
      <c r="AD151" s="114">
        <v>1382869.5622765301</v>
      </c>
      <c r="AE151" s="114">
        <v>5.688529633998586</v>
      </c>
      <c r="AF151" s="382">
        <v>4.5727758032980033</v>
      </c>
      <c r="AG151" s="163">
        <v>7.7127971028132444E-2</v>
      </c>
      <c r="AH151" s="436">
        <v>4.5984925722476708</v>
      </c>
      <c r="AI151" s="434">
        <v>5.986143406450508E-2</v>
      </c>
      <c r="AJ151" s="21">
        <v>0</v>
      </c>
      <c r="AL151" s="21">
        <v>0</v>
      </c>
    </row>
    <row r="152" spans="1:38" s="21" customFormat="1" x14ac:dyDescent="0.15">
      <c r="A152" s="113" t="s">
        <v>730</v>
      </c>
      <c r="B152" s="324">
        <v>21247.816702447588</v>
      </c>
      <c r="C152" s="114">
        <v>0.10543804465697387</v>
      </c>
      <c r="D152" s="114">
        <v>34670.478314142594</v>
      </c>
      <c r="E152" s="114">
        <v>6.273536892578159E-2</v>
      </c>
      <c r="F152" s="114">
        <v>19671.694889505761</v>
      </c>
      <c r="G152" s="114">
        <v>0.1028552024616016</v>
      </c>
      <c r="H152" s="114">
        <v>19671.694889505761</v>
      </c>
      <c r="I152" s="114">
        <v>0.1028552024616016</v>
      </c>
      <c r="J152" s="114">
        <v>73195.579656686401</v>
      </c>
      <c r="K152" s="114">
        <v>4.0695355495128399E-2</v>
      </c>
      <c r="L152" s="114">
        <v>1106.159917726347</v>
      </c>
      <c r="M152" s="114"/>
      <c r="N152" s="163">
        <v>2.1111788246321614</v>
      </c>
      <c r="O152" s="163">
        <v>1.8108605960651651</v>
      </c>
      <c r="P152" s="324">
        <v>1208.1004257507459</v>
      </c>
      <c r="Q152" s="114">
        <v>14.135328805921013</v>
      </c>
      <c r="R152" s="114">
        <v>509714.2044303703</v>
      </c>
      <c r="S152" s="114">
        <v>2.6939555261609409</v>
      </c>
      <c r="T152" s="114">
        <v>1252.5556483567516</v>
      </c>
      <c r="U152" s="114">
        <v>11.803479060481017</v>
      </c>
      <c r="V152" s="114">
        <v>1228.4306441210852</v>
      </c>
      <c r="W152" s="114">
        <v>8.7066448917269668</v>
      </c>
      <c r="X152" s="114">
        <v>2247791.5236581597</v>
      </c>
      <c r="Y152" s="114">
        <v>2.847489730365429</v>
      </c>
      <c r="Z152" s="114">
        <v>1787.7230653281636</v>
      </c>
      <c r="AA152" s="114">
        <v>11.769884005398811</v>
      </c>
      <c r="AB152" s="114">
        <v>473815.29547210678</v>
      </c>
      <c r="AC152" s="114">
        <v>2.8993366632934561</v>
      </c>
      <c r="AD152" s="114">
        <v>2172808.2209361447</v>
      </c>
      <c r="AE152" s="114">
        <v>2.947238454177167</v>
      </c>
      <c r="AF152" s="382">
        <v>4.5659410171825732</v>
      </c>
      <c r="AG152" s="163">
        <v>4.5827112724830615E-2</v>
      </c>
      <c r="AH152" s="436">
        <v>4.5829270842047665</v>
      </c>
      <c r="AI152" s="434">
        <v>5.8412638835657796E-2</v>
      </c>
      <c r="AJ152" s="21">
        <v>0</v>
      </c>
      <c r="AL152" s="21">
        <v>0</v>
      </c>
    </row>
    <row r="153" spans="1:38" s="21" customFormat="1" x14ac:dyDescent="0.15">
      <c r="A153" s="113" t="s">
        <v>731</v>
      </c>
      <c r="B153" s="324">
        <v>21195.425670230317</v>
      </c>
      <c r="C153" s="114">
        <v>0.12128908111995651</v>
      </c>
      <c r="D153" s="114">
        <v>34758.401091799729</v>
      </c>
      <c r="E153" s="114">
        <v>6.2724843038375347E-2</v>
      </c>
      <c r="F153" s="114">
        <v>19622.973770087083</v>
      </c>
      <c r="G153" s="114">
        <v>0.10283448666228184</v>
      </c>
      <c r="H153" s="114">
        <v>19622.973770087083</v>
      </c>
      <c r="I153" s="114">
        <v>0.10283448666228184</v>
      </c>
      <c r="J153" s="114">
        <v>73118.128807185843</v>
      </c>
      <c r="K153" s="114">
        <v>4.6298973173437702E-2</v>
      </c>
      <c r="L153" s="114">
        <v>939.84000514866318</v>
      </c>
      <c r="M153" s="114"/>
      <c r="N153" s="163">
        <v>2.1036102499097984</v>
      </c>
      <c r="O153" s="163">
        <v>1.8061891993687438</v>
      </c>
      <c r="P153" s="324">
        <v>955.68823131050021</v>
      </c>
      <c r="Q153" s="114">
        <v>18.092961003453116</v>
      </c>
      <c r="R153" s="114">
        <v>467759.22012079536</v>
      </c>
      <c r="S153" s="114">
        <v>3.4946303672489751</v>
      </c>
      <c r="T153" s="114">
        <v>1075.1187601031559</v>
      </c>
      <c r="U153" s="114">
        <v>15.074831138755219</v>
      </c>
      <c r="V153" s="114">
        <v>1010.3060824448627</v>
      </c>
      <c r="W153" s="114">
        <v>12.365017530924343</v>
      </c>
      <c r="X153" s="114">
        <v>2059225.1289151937</v>
      </c>
      <c r="Y153" s="114">
        <v>3.6776854867185449</v>
      </c>
      <c r="Z153" s="114">
        <v>1407.0697158840137</v>
      </c>
      <c r="AA153" s="114">
        <v>18.990896121665969</v>
      </c>
      <c r="AB153" s="114">
        <v>431990.51294655062</v>
      </c>
      <c r="AC153" s="114">
        <v>3.7819691621803671</v>
      </c>
      <c r="AD153" s="114">
        <v>1984699.9303921252</v>
      </c>
      <c r="AE153" s="114">
        <v>3.8133460779040722</v>
      </c>
      <c r="AF153" s="382">
        <v>4.5781986358150535</v>
      </c>
      <c r="AG153" s="163">
        <v>5.4000434832392211E-2</v>
      </c>
      <c r="AH153" s="436">
        <v>4.591968052814023</v>
      </c>
      <c r="AI153" s="434">
        <v>5.0229088888626192E-2</v>
      </c>
      <c r="AJ153" s="21">
        <v>0</v>
      </c>
      <c r="AL153" s="21">
        <v>0</v>
      </c>
    </row>
    <row r="154" spans="1:38" s="21" customFormat="1" x14ac:dyDescent="0.15">
      <c r="A154" s="113" t="s">
        <v>732</v>
      </c>
      <c r="B154" s="324">
        <v>21051.947666168999</v>
      </c>
      <c r="C154" s="114">
        <v>9.2594585827382378E-2</v>
      </c>
      <c r="D154" s="114">
        <v>34705.049671522262</v>
      </c>
      <c r="E154" s="114">
        <v>6.038936856286034E-2</v>
      </c>
      <c r="F154" s="114">
        <v>19444.005219954746</v>
      </c>
      <c r="G154" s="114">
        <v>0.11553530248471899</v>
      </c>
      <c r="H154" s="114">
        <v>19444.005219954746</v>
      </c>
      <c r="I154" s="114">
        <v>0.11553530248471899</v>
      </c>
      <c r="J154" s="114">
        <v>73509.315546676153</v>
      </c>
      <c r="K154" s="114">
        <v>4.0839535150219208E-2</v>
      </c>
      <c r="L154" s="114">
        <v>1237.0504607743705</v>
      </c>
      <c r="M154" s="114"/>
      <c r="N154" s="163">
        <v>2.1181158431533755</v>
      </c>
      <c r="O154" s="163">
        <v>1.8245133588874634</v>
      </c>
      <c r="P154" s="324">
        <v>1267.5941320809595</v>
      </c>
      <c r="Q154" s="114">
        <v>12.21901049935407</v>
      </c>
      <c r="R154" s="114">
        <v>411714.00863561087</v>
      </c>
      <c r="S154" s="114">
        <v>3.9344421421200666</v>
      </c>
      <c r="T154" s="114">
        <v>1233.6079158124267</v>
      </c>
      <c r="U154" s="114">
        <v>12.82075418584669</v>
      </c>
      <c r="V154" s="114">
        <v>1252.0515893195718</v>
      </c>
      <c r="W154" s="114">
        <v>8.5841976549016934</v>
      </c>
      <c r="X154" s="114">
        <v>1801755.0500944217</v>
      </c>
      <c r="Y154" s="114">
        <v>4.1905156327777204</v>
      </c>
      <c r="Z154" s="114">
        <v>1973.4369691732559</v>
      </c>
      <c r="AA154" s="114">
        <v>12.401541854886416</v>
      </c>
      <c r="AB154" s="114">
        <v>375756.90737476869</v>
      </c>
      <c r="AC154" s="114">
        <v>4.3125402935521056</v>
      </c>
      <c r="AD154" s="114">
        <v>1726272.2975785725</v>
      </c>
      <c r="AE154" s="114">
        <v>4.3710358224654726</v>
      </c>
      <c r="AF154" s="382">
        <v>4.5724750888841861</v>
      </c>
      <c r="AG154" s="163">
        <v>6.7155573113987135E-2</v>
      </c>
      <c r="AH154" s="436">
        <v>4.5887365266512337</v>
      </c>
      <c r="AI154" s="434">
        <v>7.0899287207352488E-2</v>
      </c>
      <c r="AJ154" s="21">
        <v>0</v>
      </c>
      <c r="AL154" s="21">
        <v>0</v>
      </c>
    </row>
    <row r="155" spans="1:38" s="21" customFormat="1" x14ac:dyDescent="0.15">
      <c r="A155" s="113" t="s">
        <v>733</v>
      </c>
      <c r="B155" s="324">
        <v>21232.94874125388</v>
      </c>
      <c r="C155" s="114">
        <v>0.10296665589383573</v>
      </c>
      <c r="D155" s="114">
        <v>34528.272785987763</v>
      </c>
      <c r="E155" s="114">
        <v>5.7969109063698759E-2</v>
      </c>
      <c r="F155" s="114">
        <v>19562.791153575858</v>
      </c>
      <c r="G155" s="114">
        <v>0.11056679656490086</v>
      </c>
      <c r="H155" s="114">
        <v>19562.791153575858</v>
      </c>
      <c r="I155" s="114">
        <v>0.11056679656490086</v>
      </c>
      <c r="J155" s="114">
        <v>73096.85776209594</v>
      </c>
      <c r="K155" s="114">
        <v>5.2936133865587133E-2</v>
      </c>
      <c r="L155" s="114">
        <v>1123.6244424014519</v>
      </c>
      <c r="M155" s="114"/>
      <c r="N155" s="163">
        <v>2.117014604673769</v>
      </c>
      <c r="O155" s="163">
        <v>1.802062390132704</v>
      </c>
      <c r="P155" s="324">
        <v>1062.2680421037601</v>
      </c>
      <c r="Q155" s="114">
        <v>18.199984814469346</v>
      </c>
      <c r="R155" s="114">
        <v>479704.60504847404</v>
      </c>
      <c r="S155" s="114">
        <v>2.0634601283987184</v>
      </c>
      <c r="T155" s="114">
        <v>1088.0850153456629</v>
      </c>
      <c r="U155" s="114">
        <v>17.656639157556256</v>
      </c>
      <c r="V155" s="114">
        <v>1074.0746347356499</v>
      </c>
      <c r="W155" s="114">
        <v>11.776817901959516</v>
      </c>
      <c r="X155" s="114">
        <v>2108727.3507499648</v>
      </c>
      <c r="Y155" s="114">
        <v>2.1847190237942899</v>
      </c>
      <c r="Z155" s="114">
        <v>1258.8824788513282</v>
      </c>
      <c r="AA155" s="114">
        <v>20.233086365029141</v>
      </c>
      <c r="AB155" s="114">
        <v>444102.25762775046</v>
      </c>
      <c r="AC155" s="114">
        <v>2.2337133066711057</v>
      </c>
      <c r="AD155" s="114">
        <v>2034371.6105090166</v>
      </c>
      <c r="AE155" s="114">
        <v>2.2644478049553354</v>
      </c>
      <c r="AF155" s="382">
        <v>4.5663008661097972</v>
      </c>
      <c r="AG155" s="163">
        <v>3.9046728192996503E-2</v>
      </c>
      <c r="AH155" s="436">
        <v>4.5793627098378202</v>
      </c>
      <c r="AI155" s="434">
        <v>4.5068742977270593E-2</v>
      </c>
      <c r="AJ155" s="21">
        <v>0</v>
      </c>
      <c r="AL155" s="21">
        <v>0</v>
      </c>
    </row>
    <row r="156" spans="1:38" s="21" customFormat="1" x14ac:dyDescent="0.15">
      <c r="A156" s="113" t="s">
        <v>734</v>
      </c>
      <c r="B156" s="324">
        <v>21261.685590812838</v>
      </c>
      <c r="C156" s="114">
        <v>0.11332136562983557</v>
      </c>
      <c r="D156" s="114">
        <v>34603.802959567736</v>
      </c>
      <c r="E156" s="114">
        <v>4.8123204491214322E-2</v>
      </c>
      <c r="F156" s="114">
        <v>19563.353908230096</v>
      </c>
      <c r="G156" s="114">
        <v>9.2174824291702248E-2</v>
      </c>
      <c r="H156" s="114">
        <v>19563.353908230096</v>
      </c>
      <c r="I156" s="114">
        <v>9.2174824291702248E-2</v>
      </c>
      <c r="J156" s="114">
        <v>73366.053073511779</v>
      </c>
      <c r="K156" s="114">
        <v>4.6137724262323855E-2</v>
      </c>
      <c r="L156" s="114">
        <v>929.37544734211701</v>
      </c>
      <c r="M156" s="114"/>
      <c r="N156" s="163">
        <v>2.1201731254577765</v>
      </c>
      <c r="O156" s="163">
        <v>1.8002926106717432</v>
      </c>
      <c r="P156" s="324">
        <v>906.34949426728895</v>
      </c>
      <c r="Q156" s="114">
        <v>21.595037586488907</v>
      </c>
      <c r="R156" s="114">
        <v>440627.0123579994</v>
      </c>
      <c r="S156" s="114">
        <v>6.7894562132699479</v>
      </c>
      <c r="T156" s="114">
        <v>1159.4754235619685</v>
      </c>
      <c r="U156" s="114">
        <v>14.437323509914584</v>
      </c>
      <c r="V156" s="114">
        <v>1022.108793537126</v>
      </c>
      <c r="W156" s="114">
        <v>13.573286079035345</v>
      </c>
      <c r="X156" s="114">
        <v>1942407.3681780249</v>
      </c>
      <c r="Y156" s="114">
        <v>7.1791909767766029</v>
      </c>
      <c r="Z156" s="114">
        <v>1801.2569658180923</v>
      </c>
      <c r="AA156" s="114">
        <v>13.000259166207721</v>
      </c>
      <c r="AB156" s="114">
        <v>405001.10060489445</v>
      </c>
      <c r="AC156" s="114">
        <v>7.3816346847570458</v>
      </c>
      <c r="AD156" s="114">
        <v>1867240.0581386948</v>
      </c>
      <c r="AE156" s="114">
        <v>7.4663086641026473</v>
      </c>
      <c r="AF156" s="382">
        <v>4.5836305023876669</v>
      </c>
      <c r="AG156" s="163">
        <v>8.2190777458496705E-2</v>
      </c>
      <c r="AH156" s="436">
        <v>4.5982324012259017</v>
      </c>
      <c r="AI156" s="434">
        <v>8.6286098859904334E-2</v>
      </c>
      <c r="AJ156" s="21">
        <v>0</v>
      </c>
      <c r="AL156" s="21">
        <v>0</v>
      </c>
    </row>
    <row r="157" spans="1:38" s="21" customFormat="1" x14ac:dyDescent="0.15">
      <c r="A157" s="113" t="s">
        <v>735</v>
      </c>
      <c r="B157" s="324">
        <v>21390.924039203936</v>
      </c>
      <c r="C157" s="114">
        <v>0.10002765517622075</v>
      </c>
      <c r="D157" s="114">
        <v>34635.225280897212</v>
      </c>
      <c r="E157" s="114">
        <v>6.8886670293119456E-2</v>
      </c>
      <c r="F157" s="114">
        <v>19788.860514159856</v>
      </c>
      <c r="G157" s="114">
        <v>0.10815025370956129</v>
      </c>
      <c r="H157" s="114">
        <v>19788.860514159856</v>
      </c>
      <c r="I157" s="114">
        <v>0.10815025370956129</v>
      </c>
      <c r="J157" s="114">
        <v>72712.428623239481</v>
      </c>
      <c r="K157" s="114">
        <v>5.4873310044868867E-2</v>
      </c>
      <c r="L157" s="114">
        <v>4916.4707875725526</v>
      </c>
      <c r="M157" s="114"/>
      <c r="N157" s="163">
        <v>2.099377960834095</v>
      </c>
      <c r="O157" s="163">
        <v>2.0490529250185876</v>
      </c>
      <c r="P157" s="324">
        <v>5485.1948468415849</v>
      </c>
      <c r="Q157" s="114">
        <v>3.8968910218846231</v>
      </c>
      <c r="R157" s="114">
        <v>1062948.2394958143</v>
      </c>
      <c r="S157" s="114">
        <v>2.1116238782396546</v>
      </c>
      <c r="T157" s="114">
        <v>4136.9260632303822</v>
      </c>
      <c r="U157" s="114">
        <v>3.4078473042679116</v>
      </c>
      <c r="V157" s="114">
        <v>4868.6059021486362</v>
      </c>
      <c r="W157" s="114">
        <v>2.6593308407161538</v>
      </c>
      <c r="X157" s="114">
        <v>4817893.3267437741</v>
      </c>
      <c r="Y157" s="114">
        <v>2.1668741891961312</v>
      </c>
      <c r="Z157" s="114">
        <v>2492.1008767763296</v>
      </c>
      <c r="AA157" s="114">
        <v>10.070550201708841</v>
      </c>
      <c r="AB157" s="114">
        <v>1023444.4083127684</v>
      </c>
      <c r="AC157" s="114">
        <v>2.1907497683377688</v>
      </c>
      <c r="AD157" s="114">
        <v>4742688.797243759</v>
      </c>
      <c r="AE157" s="114">
        <v>2.2006210640368042</v>
      </c>
      <c r="AF157" s="382">
        <v>4.6106242212288011</v>
      </c>
      <c r="AG157" s="163">
        <v>2.5026822244882448E-2</v>
      </c>
      <c r="AH157" s="436">
        <v>4.6336456958780889</v>
      </c>
      <c r="AI157" s="434">
        <v>2.5143221564642323E-2</v>
      </c>
      <c r="AJ157" s="21">
        <v>0</v>
      </c>
      <c r="AL157" s="21">
        <v>0</v>
      </c>
    </row>
    <row r="158" spans="1:38" s="21" customFormat="1" x14ac:dyDescent="0.15">
      <c r="A158" s="113" t="s">
        <v>736</v>
      </c>
      <c r="B158" s="324">
        <v>22091.705613563274</v>
      </c>
      <c r="C158" s="114">
        <v>8.8920332198211743E-2</v>
      </c>
      <c r="D158" s="114">
        <v>35921.230542418954</v>
      </c>
      <c r="E158" s="114">
        <v>5.4099533487954078E-2</v>
      </c>
      <c r="F158" s="114">
        <v>20345.749657499935</v>
      </c>
      <c r="G158" s="114">
        <v>0.10646323341327983</v>
      </c>
      <c r="H158" s="114">
        <v>20345.749657499935</v>
      </c>
      <c r="I158" s="114">
        <v>0.10646323341327983</v>
      </c>
      <c r="J158" s="114">
        <v>76366.387041735725</v>
      </c>
      <c r="K158" s="114">
        <v>4.5089724607247451E-2</v>
      </c>
      <c r="L158" s="114">
        <v>4193.2539886386812</v>
      </c>
      <c r="M158" s="114"/>
      <c r="N158" s="163">
        <v>2.125940172109515</v>
      </c>
      <c r="O158" s="163">
        <v>2.0075529927951021</v>
      </c>
      <c r="P158" s="324">
        <v>4520.1149055648639</v>
      </c>
      <c r="Q158" s="114">
        <v>3.971097585008903</v>
      </c>
      <c r="R158" s="114">
        <v>1792884.6022653398</v>
      </c>
      <c r="S158" s="114">
        <v>4.9557938582677554</v>
      </c>
      <c r="T158" s="114">
        <v>3798.2019878551032</v>
      </c>
      <c r="U158" s="114">
        <v>4.7038387302764528</v>
      </c>
      <c r="V158" s="114">
        <v>4189.9704050753899</v>
      </c>
      <c r="W158" s="114">
        <v>3.0804009192987807</v>
      </c>
      <c r="X158" s="114">
        <v>8236200.5391928283</v>
      </c>
      <c r="Y158" s="114">
        <v>5.0409703838226205</v>
      </c>
      <c r="Z158" s="114">
        <v>2976.0433411594445</v>
      </c>
      <c r="AA158" s="114">
        <v>7.3503640292745098</v>
      </c>
      <c r="AB158" s="114">
        <v>1752773.4013178456</v>
      </c>
      <c r="AC158" s="114">
        <v>5.0711726311004934</v>
      </c>
      <c r="AD158" s="114">
        <v>8156858.1088099321</v>
      </c>
      <c r="AE158" s="114">
        <v>5.0900472631500628</v>
      </c>
      <c r="AF158" s="382">
        <v>4.6382550309380921</v>
      </c>
      <c r="AG158" s="163">
        <v>4.4161989913771897E-2</v>
      </c>
      <c r="AH158" s="436">
        <v>4.6498271619066607</v>
      </c>
      <c r="AI158" s="434">
        <v>3.4143688571634391E-2</v>
      </c>
      <c r="AJ158" s="21">
        <v>0</v>
      </c>
      <c r="AL158" s="21">
        <v>0</v>
      </c>
    </row>
    <row r="159" spans="1:38" s="21" customFormat="1" x14ac:dyDescent="0.15">
      <c r="A159" s="113" t="s">
        <v>737</v>
      </c>
      <c r="B159" s="324">
        <v>22087.403726716002</v>
      </c>
      <c r="C159" s="114">
        <v>0.10376233493780289</v>
      </c>
      <c r="D159" s="114">
        <v>36078.537607885679</v>
      </c>
      <c r="E159" s="114">
        <v>5.7243530313823919E-2</v>
      </c>
      <c r="F159" s="114">
        <v>20349.911696549476</v>
      </c>
      <c r="G159" s="114">
        <v>0.11498367882267296</v>
      </c>
      <c r="H159" s="114">
        <v>20349.911696549476</v>
      </c>
      <c r="I159" s="114">
        <v>0.11498367882267296</v>
      </c>
      <c r="J159" s="114">
        <v>77024.621453143918</v>
      </c>
      <c r="K159" s="114">
        <v>5.7361082611240607E-2</v>
      </c>
      <c r="L159" s="114">
        <v>4022.9622925424214</v>
      </c>
      <c r="M159" s="114"/>
      <c r="N159" s="163">
        <v>2.1349152864862422</v>
      </c>
      <c r="O159" s="163">
        <v>2.0146584454510776</v>
      </c>
      <c r="P159" s="324">
        <v>4585.9681100594507</v>
      </c>
      <c r="Q159" s="114">
        <v>3.7876059014601324</v>
      </c>
      <c r="R159" s="114">
        <v>1837916.7586001121</v>
      </c>
      <c r="S159" s="114">
        <v>5.2717761680205077</v>
      </c>
      <c r="T159" s="114">
        <v>3419.3415936744182</v>
      </c>
      <c r="U159" s="114">
        <v>3.7938896770153159</v>
      </c>
      <c r="V159" s="114">
        <v>4052.447627102033</v>
      </c>
      <c r="W159" s="114">
        <v>2.7674696753055761</v>
      </c>
      <c r="X159" s="114">
        <v>8457020.0412010625</v>
      </c>
      <c r="Y159" s="114">
        <v>5.3852677626678656</v>
      </c>
      <c r="Z159" s="114">
        <v>2984.0359585819192</v>
      </c>
      <c r="AA159" s="114">
        <v>7.5070480001804265</v>
      </c>
      <c r="AB159" s="114">
        <v>1797785.7733651239</v>
      </c>
      <c r="AC159" s="114">
        <v>5.3893102435368236</v>
      </c>
      <c r="AD159" s="114">
        <v>8377011.3837893307</v>
      </c>
      <c r="AE159" s="114">
        <v>5.4373497238558652</v>
      </c>
      <c r="AF159" s="382">
        <v>4.6352287135658194</v>
      </c>
      <c r="AG159" s="163">
        <v>6.4265429760789111E-2</v>
      </c>
      <c r="AH159" s="436">
        <v>4.6484318515983825</v>
      </c>
      <c r="AI159" s="434">
        <v>5.3590465304487953E-2</v>
      </c>
      <c r="AJ159" s="21">
        <v>0</v>
      </c>
      <c r="AL159" s="21">
        <v>0</v>
      </c>
    </row>
    <row r="160" spans="1:38" s="21" customFormat="1" x14ac:dyDescent="0.15">
      <c r="A160" s="113" t="s">
        <v>738</v>
      </c>
      <c r="B160" s="324">
        <v>21961.281936557098</v>
      </c>
      <c r="C160" s="114">
        <v>9.6715816989905404E-2</v>
      </c>
      <c r="D160" s="114">
        <v>36199.912638989001</v>
      </c>
      <c r="E160" s="114">
        <v>5.6635636382529803E-2</v>
      </c>
      <c r="F160" s="114">
        <v>20146.673263991441</v>
      </c>
      <c r="G160" s="114">
        <v>0.11120121581545121</v>
      </c>
      <c r="H160" s="114">
        <v>20146.673263991441</v>
      </c>
      <c r="I160" s="114">
        <v>0.11120121581545121</v>
      </c>
      <c r="J160" s="114">
        <v>77339.592243436287</v>
      </c>
      <c r="K160" s="114">
        <v>4.1931239029204231E-2</v>
      </c>
      <c r="L160" s="114">
        <v>4067.6803988242586</v>
      </c>
      <c r="M160" s="114"/>
      <c r="N160" s="163">
        <v>2.136457980291862</v>
      </c>
      <c r="O160" s="163">
        <v>1.9981770213941967</v>
      </c>
      <c r="P160" s="324">
        <v>4733.9517916426003</v>
      </c>
      <c r="Q160" s="114">
        <v>3.9154754581256412</v>
      </c>
      <c r="R160" s="114">
        <v>1488574.3413699334</v>
      </c>
      <c r="S160" s="114">
        <v>1.5128002818335804</v>
      </c>
      <c r="T160" s="114">
        <v>3571.2715249010985</v>
      </c>
      <c r="U160" s="114">
        <v>4.5633578819896172</v>
      </c>
      <c r="V160" s="114">
        <v>4202.2360036634946</v>
      </c>
      <c r="W160" s="114">
        <v>3.0257944282506641</v>
      </c>
      <c r="X160" s="114">
        <v>6797528.0413930593</v>
      </c>
      <c r="Y160" s="114">
        <v>1.5399773437336308</v>
      </c>
      <c r="Z160" s="114">
        <v>2428.0775823249419</v>
      </c>
      <c r="AA160" s="114">
        <v>10.613100672268681</v>
      </c>
      <c r="AB160" s="114">
        <v>1448172.192727281</v>
      </c>
      <c r="AC160" s="114">
        <v>1.554062067333535</v>
      </c>
      <c r="AD160" s="114">
        <v>6717760.3715672959</v>
      </c>
      <c r="AE160" s="114">
        <v>1.5589780841097542</v>
      </c>
      <c r="AF160" s="382">
        <v>4.6232706245010675</v>
      </c>
      <c r="AG160" s="163">
        <v>2.0186644493208124E-2</v>
      </c>
      <c r="AH160" s="436">
        <v>4.638562554250333</v>
      </c>
      <c r="AI160" s="434">
        <v>2.1858396564976429E-2</v>
      </c>
      <c r="AJ160" s="21">
        <v>0</v>
      </c>
      <c r="AL160" s="21">
        <v>0</v>
      </c>
    </row>
    <row r="161" spans="1:38" s="21" customFormat="1" x14ac:dyDescent="0.15">
      <c r="A161" s="113" t="s">
        <v>739</v>
      </c>
      <c r="B161" s="324">
        <v>21947.572107221298</v>
      </c>
      <c r="C161" s="114">
        <v>0.10733319136698109</v>
      </c>
      <c r="D161" s="114">
        <v>36073.419216468938</v>
      </c>
      <c r="E161" s="114">
        <v>5.2235477267608299E-2</v>
      </c>
      <c r="F161" s="114">
        <v>20040.425999986863</v>
      </c>
      <c r="G161" s="114">
        <v>0.10228314113089169</v>
      </c>
      <c r="H161" s="114">
        <v>20040.425999986863</v>
      </c>
      <c r="I161" s="114">
        <v>0.10228314113089169</v>
      </c>
      <c r="J161" s="114">
        <v>76857.26544163478</v>
      </c>
      <c r="K161" s="114">
        <v>4.9783483925118277E-2</v>
      </c>
      <c r="L161" s="114">
        <v>4242.5650469863494</v>
      </c>
      <c r="M161" s="114"/>
      <c r="N161" s="163">
        <v>2.130578889138028</v>
      </c>
      <c r="O161" s="163">
        <v>2.0148995706751931</v>
      </c>
      <c r="P161" s="324">
        <v>4794.0092021558276</v>
      </c>
      <c r="Q161" s="114">
        <v>3.5328243857349046</v>
      </c>
      <c r="R161" s="114">
        <v>1347416.5851273357</v>
      </c>
      <c r="S161" s="114">
        <v>2.1241617560851163</v>
      </c>
      <c r="T161" s="114">
        <v>3796.4495005318886</v>
      </c>
      <c r="U161" s="114">
        <v>4.552977891001448</v>
      </c>
      <c r="V161" s="114">
        <v>4337.8061874682953</v>
      </c>
      <c r="W161" s="114">
        <v>2.5660891673289634</v>
      </c>
      <c r="X161" s="114">
        <v>6139539.2246008934</v>
      </c>
      <c r="Y161" s="114">
        <v>2.1605661248658792</v>
      </c>
      <c r="Z161" s="114">
        <v>3978.9747417458661</v>
      </c>
      <c r="AA161" s="114">
        <v>4.9097175784293183</v>
      </c>
      <c r="AB161" s="114">
        <v>1307005.359723398</v>
      </c>
      <c r="AC161" s="114">
        <v>2.1894873297526836</v>
      </c>
      <c r="AD161" s="114">
        <v>6058702.9844175121</v>
      </c>
      <c r="AE161" s="114">
        <v>2.1898124407246073</v>
      </c>
      <c r="AF161" s="382">
        <v>4.6191544108167291</v>
      </c>
      <c r="AG161" s="163">
        <v>2.0452658896576711E-2</v>
      </c>
      <c r="AH161" s="436">
        <v>4.6356639744830224</v>
      </c>
      <c r="AI161" s="434">
        <v>2.1015053283339448E-2</v>
      </c>
      <c r="AJ161" s="21">
        <v>0</v>
      </c>
      <c r="AL161" s="21">
        <v>0</v>
      </c>
    </row>
    <row r="162" spans="1:38" s="21" customFormat="1" x14ac:dyDescent="0.15">
      <c r="A162" s="113" t="s">
        <v>740</v>
      </c>
      <c r="B162" s="324">
        <v>21870.930666428518</v>
      </c>
      <c r="C162" s="114">
        <v>9.6692956542522454E-2</v>
      </c>
      <c r="D162" s="114">
        <v>35989.172951273344</v>
      </c>
      <c r="E162" s="114">
        <v>5.374979663281363E-2</v>
      </c>
      <c r="F162" s="114">
        <v>20061.790347085771</v>
      </c>
      <c r="G162" s="114">
        <v>0.10188115583752251</v>
      </c>
      <c r="H162" s="114">
        <v>20061.790347085771</v>
      </c>
      <c r="I162" s="114">
        <v>0.10188115583752251</v>
      </c>
      <c r="J162" s="114">
        <v>77003.101029600526</v>
      </c>
      <c r="K162" s="114">
        <v>4.219164999207612E-2</v>
      </c>
      <c r="L162" s="114">
        <v>4337.0031555939904</v>
      </c>
      <c r="M162" s="114"/>
      <c r="N162" s="163">
        <v>2.1396185217664487</v>
      </c>
      <c r="O162" s="163">
        <v>2.0430156732910465</v>
      </c>
      <c r="P162" s="324">
        <v>4981.5114431460097</v>
      </c>
      <c r="Q162" s="114">
        <v>3.4360911881803156</v>
      </c>
      <c r="R162" s="114">
        <v>1214640.0803799818</v>
      </c>
      <c r="S162" s="114">
        <v>2.2708165962777436</v>
      </c>
      <c r="T162" s="114">
        <v>3663.7306082489777</v>
      </c>
      <c r="U162" s="114">
        <v>3.8348841790010337</v>
      </c>
      <c r="V162" s="114">
        <v>4378.8652169614352</v>
      </c>
      <c r="W162" s="114">
        <v>2.7656689554696694</v>
      </c>
      <c r="X162" s="114">
        <v>5528594.1557046538</v>
      </c>
      <c r="Y162" s="114">
        <v>2.3311016206721296</v>
      </c>
      <c r="Z162" s="114">
        <v>3021.0236933140145</v>
      </c>
      <c r="AA162" s="114">
        <v>7.3078908528249906</v>
      </c>
      <c r="AB162" s="114">
        <v>1174272.0422117466</v>
      </c>
      <c r="AC162" s="114">
        <v>2.3493412776954981</v>
      </c>
      <c r="AD162" s="114">
        <v>5448570.0309817409</v>
      </c>
      <c r="AE162" s="114">
        <v>2.3646679066983918</v>
      </c>
      <c r="AF162" s="382">
        <v>4.619823016997648</v>
      </c>
      <c r="AG162" s="163">
        <v>2.4113883166224842E-2</v>
      </c>
      <c r="AH162" s="436">
        <v>4.6389094785973803</v>
      </c>
      <c r="AI162" s="434">
        <v>2.4463944496720489E-2</v>
      </c>
      <c r="AJ162" s="21">
        <v>0</v>
      </c>
      <c r="AL162" s="21">
        <v>0</v>
      </c>
    </row>
    <row r="163" spans="1:38" s="21" customFormat="1" x14ac:dyDescent="0.15">
      <c r="A163" s="113" t="s">
        <v>741</v>
      </c>
      <c r="B163" s="324">
        <v>21640.144888982595</v>
      </c>
      <c r="C163" s="114">
        <v>0.10227997602729592</v>
      </c>
      <c r="D163" s="114">
        <v>35942.938277965412</v>
      </c>
      <c r="E163" s="114">
        <v>6.1333821317747034E-2</v>
      </c>
      <c r="F163" s="114">
        <v>20036.62298349195</v>
      </c>
      <c r="G163" s="114">
        <v>0.12377306226211038</v>
      </c>
      <c r="H163" s="114">
        <v>20036.62298349195</v>
      </c>
      <c r="I163" s="114">
        <v>0.12377306226211038</v>
      </c>
      <c r="J163" s="114">
        <v>76605.436958569859</v>
      </c>
      <c r="K163" s="114">
        <v>5.1453095881781187E-2</v>
      </c>
      <c r="L163" s="114">
        <v>4332.7984559699526</v>
      </c>
      <c r="M163" s="114"/>
      <c r="N163" s="163">
        <v>2.1313070279936555</v>
      </c>
      <c r="O163" s="163">
        <v>2.0270169715378441</v>
      </c>
      <c r="P163" s="324">
        <v>4858.4763737597368</v>
      </c>
      <c r="Q163" s="114">
        <v>2.8208821030309412</v>
      </c>
      <c r="R163" s="114">
        <v>1187928.2618863129</v>
      </c>
      <c r="S163" s="114">
        <v>1.8776959433955536</v>
      </c>
      <c r="T163" s="114">
        <v>3680.5190496929604</v>
      </c>
      <c r="U163" s="114">
        <v>4.6540866237235923</v>
      </c>
      <c r="V163" s="114">
        <v>4319.7740970561963</v>
      </c>
      <c r="W163" s="114">
        <v>2.5609415626673897</v>
      </c>
      <c r="X163" s="114">
        <v>5386258.9440955715</v>
      </c>
      <c r="Y163" s="114">
        <v>1.9166609525738039</v>
      </c>
      <c r="Z163" s="114">
        <v>2694.829803455335</v>
      </c>
      <c r="AA163" s="114">
        <v>8.9795461197911166</v>
      </c>
      <c r="AB163" s="114">
        <v>1147665.5495112906</v>
      </c>
      <c r="AC163" s="114">
        <v>1.9419936545585783</v>
      </c>
      <c r="AD163" s="114">
        <v>5306958.6773335459</v>
      </c>
      <c r="AE163" s="114">
        <v>1.9445625563081919</v>
      </c>
      <c r="AF163" s="382">
        <v>4.6060032531707682</v>
      </c>
      <c r="AG163" s="163">
        <v>1.7174341042402983E-2</v>
      </c>
      <c r="AH163" s="436">
        <v>4.6241201768074482</v>
      </c>
      <c r="AI163" s="434">
        <v>2.2186315040922642E-2</v>
      </c>
      <c r="AJ163" s="21">
        <v>0</v>
      </c>
      <c r="AL163" s="21">
        <v>0</v>
      </c>
    </row>
    <row r="164" spans="1:38" s="21" customFormat="1" x14ac:dyDescent="0.15">
      <c r="A164" s="113" t="s">
        <v>742</v>
      </c>
      <c r="B164" s="324">
        <v>21596.304029242463</v>
      </c>
      <c r="C164" s="114">
        <v>0.1052454542945121</v>
      </c>
      <c r="D164" s="114">
        <v>35913.379999595476</v>
      </c>
      <c r="E164" s="114">
        <v>6.1481150697944804E-2</v>
      </c>
      <c r="F164" s="114">
        <v>20061.58030308277</v>
      </c>
      <c r="G164" s="114">
        <v>0.10553291499223963</v>
      </c>
      <c r="H164" s="114">
        <v>20061.58030308277</v>
      </c>
      <c r="I164" s="114">
        <v>0.10553291499223963</v>
      </c>
      <c r="J164" s="114">
        <v>76096.783418350824</v>
      </c>
      <c r="K164" s="114">
        <v>6.0682199451671422E-2</v>
      </c>
      <c r="L164" s="114">
        <v>4306.8516123671352</v>
      </c>
      <c r="M164" s="114"/>
      <c r="N164" s="163">
        <v>2.118897843065954</v>
      </c>
      <c r="O164" s="163">
        <v>2.0059857066238749</v>
      </c>
      <c r="P164" s="324">
        <v>4949.6725444870945</v>
      </c>
      <c r="Q164" s="114">
        <v>3.2925775946821902</v>
      </c>
      <c r="R164" s="114">
        <v>1434472.5205812147</v>
      </c>
      <c r="S164" s="114">
        <v>1.8011187211565882</v>
      </c>
      <c r="T164" s="114">
        <v>3658.704064903111</v>
      </c>
      <c r="U164" s="114">
        <v>4.4204713480006346</v>
      </c>
      <c r="V164" s="114">
        <v>4359.2881180772856</v>
      </c>
      <c r="W164" s="114">
        <v>2.7263099528094963</v>
      </c>
      <c r="X164" s="114">
        <v>6549109.8710240545</v>
      </c>
      <c r="Y164" s="114">
        <v>1.843502599011021</v>
      </c>
      <c r="Z164" s="114">
        <v>2313.6551279345949</v>
      </c>
      <c r="AA164" s="114">
        <v>10.660551511834079</v>
      </c>
      <c r="AB164" s="114">
        <v>1394199.852463542</v>
      </c>
      <c r="AC164" s="114">
        <v>1.8529399743566899</v>
      </c>
      <c r="AD164" s="114">
        <v>6470699.4324777694</v>
      </c>
      <c r="AE164" s="114">
        <v>1.8651800737066568</v>
      </c>
      <c r="AF164" s="382">
        <v>4.6244121803534739</v>
      </c>
      <c r="AG164" s="163">
        <v>2.8117448946407955E-2</v>
      </c>
      <c r="AH164" s="436">
        <v>4.6403056984588114</v>
      </c>
      <c r="AI164" s="434">
        <v>2.6662228253906513E-2</v>
      </c>
      <c r="AJ164" s="21">
        <v>0</v>
      </c>
      <c r="AL164" s="21">
        <v>0</v>
      </c>
    </row>
    <row r="165" spans="1:38" s="21" customFormat="1" x14ac:dyDescent="0.15">
      <c r="A165" s="113" t="s">
        <v>743</v>
      </c>
      <c r="B165" s="324">
        <v>21834.334633380851</v>
      </c>
      <c r="C165" s="114">
        <v>0.10179236493220464</v>
      </c>
      <c r="D165" s="114">
        <v>35737.970946943249</v>
      </c>
      <c r="E165" s="114">
        <v>6.569314634881028E-2</v>
      </c>
      <c r="F165" s="114">
        <v>20070.1629822537</v>
      </c>
      <c r="G165" s="114">
        <v>0.11745764060356489</v>
      </c>
      <c r="H165" s="114">
        <v>20070.1629822537</v>
      </c>
      <c r="I165" s="114">
        <v>0.11745764060356489</v>
      </c>
      <c r="J165" s="114">
        <v>76331.29769761661</v>
      </c>
      <c r="K165" s="114">
        <v>5.1146891699140974E-2</v>
      </c>
      <c r="L165" s="114">
        <v>4035.2244485355573</v>
      </c>
      <c r="M165" s="114"/>
      <c r="N165" s="163">
        <v>2.1358598620760647</v>
      </c>
      <c r="O165" s="163">
        <v>2.0285846455811782</v>
      </c>
      <c r="P165" s="324">
        <v>4512.6260393307339</v>
      </c>
      <c r="Q165" s="114">
        <v>4.1465268495849221</v>
      </c>
      <c r="R165" s="114">
        <v>1276171.1110427876</v>
      </c>
      <c r="S165" s="114">
        <v>2.9146959407979698</v>
      </c>
      <c r="T165" s="114">
        <v>3409.9733497225966</v>
      </c>
      <c r="U165" s="114">
        <v>3.8709420807247912</v>
      </c>
      <c r="V165" s="114">
        <v>4008.3620034703727</v>
      </c>
      <c r="W165" s="114">
        <v>2.892172493224018</v>
      </c>
      <c r="X165" s="114">
        <v>5806918.4469829733</v>
      </c>
      <c r="Y165" s="114">
        <v>2.9696558050776742</v>
      </c>
      <c r="Z165" s="114">
        <v>3250.7183744176682</v>
      </c>
      <c r="AA165" s="114">
        <v>7.5762444374162978</v>
      </c>
      <c r="AB165" s="114">
        <v>1236424.7780923734</v>
      </c>
      <c r="AC165" s="114">
        <v>3.0087171913757644</v>
      </c>
      <c r="AD165" s="114">
        <v>5727336.4309109412</v>
      </c>
      <c r="AE165" s="114">
        <v>3.011588059291407</v>
      </c>
      <c r="AF165" s="382">
        <v>4.6158084411472986</v>
      </c>
      <c r="AG165" s="163">
        <v>2.3936311498210822E-2</v>
      </c>
      <c r="AH165" s="436">
        <v>4.6321623657679423</v>
      </c>
      <c r="AI165" s="434">
        <v>2.5703432750403231E-2</v>
      </c>
      <c r="AJ165" s="21">
        <v>0</v>
      </c>
      <c r="AL165" s="21">
        <v>0</v>
      </c>
    </row>
    <row r="166" spans="1:38" s="21" customFormat="1" x14ac:dyDescent="0.15">
      <c r="A166" s="113" t="s">
        <v>744</v>
      </c>
      <c r="B166" s="324">
        <v>21629.102929929806</v>
      </c>
      <c r="C166" s="114">
        <v>0.10443035341392568</v>
      </c>
      <c r="D166" s="114">
        <v>35383.49141951499</v>
      </c>
      <c r="E166" s="114">
        <v>6.1180013376759171E-2</v>
      </c>
      <c r="F166" s="114">
        <v>20055.526193620401</v>
      </c>
      <c r="G166" s="114">
        <v>9.5140987694644449E-2</v>
      </c>
      <c r="H166" s="114">
        <v>20055.526193620401</v>
      </c>
      <c r="I166" s="114">
        <v>9.5140987694644449E-2</v>
      </c>
      <c r="J166" s="114">
        <v>74922.240733732731</v>
      </c>
      <c r="K166" s="114">
        <v>4.5043049262633715E-2</v>
      </c>
      <c r="L166" s="114">
        <v>4008.8336739450501</v>
      </c>
      <c r="M166" s="114"/>
      <c r="N166" s="163">
        <v>2.1174349316023409</v>
      </c>
      <c r="O166" s="163">
        <v>2.0013225806859314</v>
      </c>
      <c r="P166" s="324">
        <v>4297.461898036122</v>
      </c>
      <c r="Q166" s="114">
        <v>4.4830445542511068</v>
      </c>
      <c r="R166" s="114">
        <v>1267633.7081978777</v>
      </c>
      <c r="S166" s="114">
        <v>3.5628997368072435</v>
      </c>
      <c r="T166" s="114">
        <v>3218.7610610699803</v>
      </c>
      <c r="U166" s="114">
        <v>5.4622328235950439</v>
      </c>
      <c r="V166" s="114">
        <v>3804.1514997022587</v>
      </c>
      <c r="W166" s="114">
        <v>3.1398088529299906</v>
      </c>
      <c r="X166" s="114">
        <v>5767763.4950113576</v>
      </c>
      <c r="Y166" s="114">
        <v>3.6169589401892215</v>
      </c>
      <c r="Z166" s="114">
        <v>3294.4976611172806</v>
      </c>
      <c r="AA166" s="114">
        <v>7.6238723816372254</v>
      </c>
      <c r="AB166" s="114">
        <v>1228446.0652786607</v>
      </c>
      <c r="AC166" s="114">
        <v>3.6758253818246152</v>
      </c>
      <c r="AD166" s="114">
        <v>5689546.7566165058</v>
      </c>
      <c r="AE166" s="114">
        <v>3.6679749377648614</v>
      </c>
      <c r="AF166" s="382">
        <v>4.6170519765131113</v>
      </c>
      <c r="AG166" s="163">
        <v>1.9023988439485214E-2</v>
      </c>
      <c r="AH166" s="436">
        <v>4.6321541377387474</v>
      </c>
      <c r="AI166" s="434">
        <v>2.204301670205849E-2</v>
      </c>
      <c r="AJ166" s="21">
        <v>0</v>
      </c>
      <c r="AL166" s="21">
        <v>0</v>
      </c>
    </row>
    <row r="167" spans="1:38" s="21" customFormat="1" x14ac:dyDescent="0.15">
      <c r="A167" s="113" t="s">
        <v>745</v>
      </c>
      <c r="B167" s="324">
        <v>21457.125989659111</v>
      </c>
      <c r="C167" s="114">
        <v>0.10546583149122929</v>
      </c>
      <c r="D167" s="114">
        <v>35351.534225881333</v>
      </c>
      <c r="E167" s="114">
        <v>5.6112848793576919E-2</v>
      </c>
      <c r="F167" s="114">
        <v>19906.716830810044</v>
      </c>
      <c r="G167" s="114">
        <v>0.10584868014784904</v>
      </c>
      <c r="H167" s="114">
        <v>19906.716830810044</v>
      </c>
      <c r="I167" s="114">
        <v>0.10584868014784904</v>
      </c>
      <c r="J167" s="114">
        <v>74845.159343319567</v>
      </c>
      <c r="K167" s="114">
        <v>5.2207052891025132E-2</v>
      </c>
      <c r="L167" s="114">
        <v>4331.8806040757727</v>
      </c>
      <c r="M167" s="114"/>
      <c r="N167" s="163">
        <v>2.1171686316381826</v>
      </c>
      <c r="O167" s="163">
        <v>2.0098361630476971</v>
      </c>
      <c r="P167" s="324">
        <v>5017.6734855982395</v>
      </c>
      <c r="Q167" s="114">
        <v>3.2866219649945525</v>
      </c>
      <c r="R167" s="114">
        <v>907791.51234026393</v>
      </c>
      <c r="S167" s="114">
        <v>1.2047506280370641</v>
      </c>
      <c r="T167" s="114">
        <v>3653.463905615868</v>
      </c>
      <c r="U167" s="114">
        <v>4.3163770962365611</v>
      </c>
      <c r="V167" s="114">
        <v>4393.7945116978062</v>
      </c>
      <c r="W167" s="114">
        <v>2.682627368311397</v>
      </c>
      <c r="X167" s="114">
        <v>4098086.5120050511</v>
      </c>
      <c r="Y167" s="114">
        <v>1.2441815015874189</v>
      </c>
      <c r="Z167" s="114">
        <v>2607.4614975115833</v>
      </c>
      <c r="AA167" s="114">
        <v>9.3015462710427901</v>
      </c>
      <c r="AB167" s="114">
        <v>868046.18360268499</v>
      </c>
      <c r="AC167" s="114">
        <v>1.2600926111321538</v>
      </c>
      <c r="AD167" s="114">
        <v>4020633.8911642199</v>
      </c>
      <c r="AE167" s="114">
        <v>1.2671173298082297</v>
      </c>
      <c r="AF167" s="382">
        <v>4.6074941726763132</v>
      </c>
      <c r="AG167" s="163">
        <v>2.5827420941656694E-2</v>
      </c>
      <c r="AH167" s="436">
        <v>4.6315802430825332</v>
      </c>
      <c r="AI167" s="434">
        <v>2.9803916790036463E-2</v>
      </c>
      <c r="AJ167" s="21">
        <v>0</v>
      </c>
      <c r="AL167" s="21">
        <v>0</v>
      </c>
    </row>
    <row r="168" spans="1:38" s="21" customFormat="1" x14ac:dyDescent="0.15">
      <c r="A168" s="113" t="s">
        <v>746</v>
      </c>
      <c r="B168" s="324">
        <v>21577.026733589937</v>
      </c>
      <c r="C168" s="114">
        <v>0.10402622762148299</v>
      </c>
      <c r="D168" s="114">
        <v>35413.711676790212</v>
      </c>
      <c r="E168" s="114">
        <v>5.5327842402310083E-2</v>
      </c>
      <c r="F168" s="114">
        <v>20098.745074291226</v>
      </c>
      <c r="G168" s="114">
        <v>9.0114157120571442E-2</v>
      </c>
      <c r="H168" s="114">
        <v>20098.745074291226</v>
      </c>
      <c r="I168" s="114">
        <v>9.0114157120571442E-2</v>
      </c>
      <c r="J168" s="114">
        <v>75296.547841133739</v>
      </c>
      <c r="K168" s="114">
        <v>4.7060768727390352E-2</v>
      </c>
      <c r="L168" s="114">
        <v>4293.292243256411</v>
      </c>
      <c r="M168" s="114"/>
      <c r="N168" s="163">
        <v>2.1261975736500487</v>
      </c>
      <c r="O168" s="163">
        <v>2.0263670452234539</v>
      </c>
      <c r="P168" s="324">
        <v>5059.1123472241816</v>
      </c>
      <c r="Q168" s="114">
        <v>4.2029662371623262</v>
      </c>
      <c r="R168" s="114">
        <v>1662901.7879567742</v>
      </c>
      <c r="S168" s="114">
        <v>6.40608459802365</v>
      </c>
      <c r="T168" s="114">
        <v>3594.8116478795691</v>
      </c>
      <c r="U168" s="114">
        <v>4.7803657485657522</v>
      </c>
      <c r="V168" s="114">
        <v>4389.4598017548778</v>
      </c>
      <c r="W168" s="114">
        <v>3.1919147663078689</v>
      </c>
      <c r="X168" s="114">
        <v>7598217.3512790911</v>
      </c>
      <c r="Y168" s="114">
        <v>6.5064814046884765</v>
      </c>
      <c r="Z168" s="114">
        <v>2921.8873851594071</v>
      </c>
      <c r="AA168" s="114">
        <v>8.8211885738510194</v>
      </c>
      <c r="AB168" s="114">
        <v>1623098.6164782294</v>
      </c>
      <c r="AC168" s="114">
        <v>6.5638181307458332</v>
      </c>
      <c r="AD168" s="114">
        <v>7519998.9160528034</v>
      </c>
      <c r="AE168" s="114">
        <v>6.5745532240958111</v>
      </c>
      <c r="AF168" s="382">
        <v>4.6169663563871604</v>
      </c>
      <c r="AG168" s="163">
        <v>3.5004418959574242E-2</v>
      </c>
      <c r="AH168" s="436">
        <v>4.6315989041081362</v>
      </c>
      <c r="AI168" s="434">
        <v>3.4473887450032631E-2</v>
      </c>
      <c r="AJ168" s="21">
        <v>0</v>
      </c>
      <c r="AL168" s="21">
        <v>0</v>
      </c>
    </row>
    <row r="169" spans="1:38" s="21" customFormat="1" x14ac:dyDescent="0.15">
      <c r="A169" s="113" t="s">
        <v>747</v>
      </c>
      <c r="B169" s="324">
        <v>21460.005028707044</v>
      </c>
      <c r="C169" s="114">
        <v>0.1175968228231873</v>
      </c>
      <c r="D169" s="114">
        <v>35470.524037437346</v>
      </c>
      <c r="E169" s="114">
        <v>4.9104371427051888E-2</v>
      </c>
      <c r="F169" s="114">
        <v>19721.992354862094</v>
      </c>
      <c r="G169" s="114">
        <v>0.10694576202703841</v>
      </c>
      <c r="H169" s="114">
        <v>19721.992354862094</v>
      </c>
      <c r="I169" s="114">
        <v>0.10694576202703841</v>
      </c>
      <c r="J169" s="114">
        <v>75156.587834121659</v>
      </c>
      <c r="K169" s="114">
        <v>5.6301656933123452E-2</v>
      </c>
      <c r="L169" s="114">
        <v>4242.9186306460206</v>
      </c>
      <c r="M169" s="114"/>
      <c r="N169" s="163">
        <v>2.1188462779630117</v>
      </c>
      <c r="O169" s="163">
        <v>1.9953029055724685</v>
      </c>
      <c r="P169" s="324">
        <v>4822.8774147101904</v>
      </c>
      <c r="Q169" s="114">
        <v>3.6196487142638318</v>
      </c>
      <c r="R169" s="114">
        <v>1297715.011632015</v>
      </c>
      <c r="S169" s="114">
        <v>2.8032218171584891</v>
      </c>
      <c r="T169" s="114">
        <v>3720.8610144681211</v>
      </c>
      <c r="U169" s="114">
        <v>3.9277433681808214</v>
      </c>
      <c r="V169" s="114">
        <v>4318.9043660724901</v>
      </c>
      <c r="W169" s="114">
        <v>2.8342897739076811</v>
      </c>
      <c r="X169" s="114">
        <v>5913161.4855938284</v>
      </c>
      <c r="Y169" s="114">
        <v>2.8608119380646864</v>
      </c>
      <c r="Z169" s="114">
        <v>2825.5201300791568</v>
      </c>
      <c r="AA169" s="114">
        <v>6.6668978009291679</v>
      </c>
      <c r="AB169" s="114">
        <v>1257925.5832285045</v>
      </c>
      <c r="AC169" s="114">
        <v>2.8930328883561556</v>
      </c>
      <c r="AD169" s="114">
        <v>5835179.3776296237</v>
      </c>
      <c r="AE169" s="114">
        <v>2.8990395090791314</v>
      </c>
      <c r="AF169" s="382">
        <v>4.6212268067950628</v>
      </c>
      <c r="AG169" s="163">
        <v>2.2436342724317396E-2</v>
      </c>
      <c r="AH169" s="436">
        <v>4.6382941111409579</v>
      </c>
      <c r="AI169" s="434">
        <v>1.9985475240172863E-2</v>
      </c>
      <c r="AJ169" s="21">
        <v>0</v>
      </c>
      <c r="AL169" s="21">
        <v>0</v>
      </c>
    </row>
    <row r="170" spans="1:38" s="21" customFormat="1" x14ac:dyDescent="0.15">
      <c r="A170" s="113" t="s">
        <v>748</v>
      </c>
      <c r="B170" s="324">
        <v>21687.925707065118</v>
      </c>
      <c r="C170" s="114">
        <v>9.7487005817400843E-2</v>
      </c>
      <c r="D170" s="114">
        <v>35426.712091357876</v>
      </c>
      <c r="E170" s="114">
        <v>5.825737575896698E-2</v>
      </c>
      <c r="F170" s="114">
        <v>19802.032212117061</v>
      </c>
      <c r="G170" s="114">
        <v>0.11046464961755832</v>
      </c>
      <c r="H170" s="114">
        <v>19802.032212117061</v>
      </c>
      <c r="I170" s="114">
        <v>0.11046464961755832</v>
      </c>
      <c r="J170" s="114">
        <v>75463.286189973616</v>
      </c>
      <c r="K170" s="114">
        <v>4.7591421993637195E-2</v>
      </c>
      <c r="L170" s="114">
        <v>4070.9751804759976</v>
      </c>
      <c r="M170" s="114"/>
      <c r="N170" s="163">
        <v>2.130123901856035</v>
      </c>
      <c r="O170" s="163">
        <v>2.0168316101689903</v>
      </c>
      <c r="P170" s="324">
        <v>4543.834330305187</v>
      </c>
      <c r="Q170" s="114">
        <v>4.2636141280437823</v>
      </c>
      <c r="R170" s="114">
        <v>1716789.3369166525</v>
      </c>
      <c r="S170" s="114">
        <v>3.7709803175047436</v>
      </c>
      <c r="T170" s="114">
        <v>3636.3766859556595</v>
      </c>
      <c r="U170" s="114">
        <v>5.1187239415795069</v>
      </c>
      <c r="V170" s="114">
        <v>4128.8366992064493</v>
      </c>
      <c r="W170" s="114">
        <v>3.4680723217418334</v>
      </c>
      <c r="X170" s="114">
        <v>7881008.0624950929</v>
      </c>
      <c r="Y170" s="114">
        <v>3.8344276728201905</v>
      </c>
      <c r="Z170" s="114">
        <v>3512.3589801985531</v>
      </c>
      <c r="AA170" s="114">
        <v>7.0009567479948069</v>
      </c>
      <c r="AB170" s="114">
        <v>1677233.7881260887</v>
      </c>
      <c r="AC170" s="114">
        <v>3.8611988001153845</v>
      </c>
      <c r="AD170" s="114">
        <v>7802032.4173249174</v>
      </c>
      <c r="AE170" s="114">
        <v>3.8725434379499513</v>
      </c>
      <c r="AF170" s="382">
        <v>4.6363005355642484</v>
      </c>
      <c r="AG170" s="163">
        <v>3.3632391054256146E-2</v>
      </c>
      <c r="AH170" s="436">
        <v>4.6503682868888641</v>
      </c>
      <c r="AI170" s="434">
        <v>2.7388333310588583E-2</v>
      </c>
      <c r="AJ170" s="21">
        <v>0</v>
      </c>
      <c r="AL170" s="21">
        <v>0</v>
      </c>
    </row>
    <row r="171" spans="1:38" s="21" customFormat="1" x14ac:dyDescent="0.15">
      <c r="A171" s="113" t="s">
        <v>749</v>
      </c>
      <c r="B171" s="324">
        <v>21373.847077669092</v>
      </c>
      <c r="C171" s="114">
        <v>0.10958199264135322</v>
      </c>
      <c r="D171" s="114">
        <v>35454.827927858118</v>
      </c>
      <c r="E171" s="114">
        <v>5.5019405588156781E-2</v>
      </c>
      <c r="F171" s="114">
        <v>19830.617682776337</v>
      </c>
      <c r="G171" s="114">
        <v>0.11751302627203858</v>
      </c>
      <c r="H171" s="114">
        <v>19830.617682776337</v>
      </c>
      <c r="I171" s="114">
        <v>0.11751302627203858</v>
      </c>
      <c r="J171" s="114">
        <v>75249.8922550508</v>
      </c>
      <c r="K171" s="114">
        <v>5.821884271383624E-2</v>
      </c>
      <c r="L171" s="114">
        <v>4055.8054628469981</v>
      </c>
      <c r="M171" s="114"/>
      <c r="N171" s="163">
        <v>2.1224159487719381</v>
      </c>
      <c r="O171" s="163">
        <v>1.9944873491707256</v>
      </c>
      <c r="P171" s="324">
        <v>4675.3854330336771</v>
      </c>
      <c r="Q171" s="114">
        <v>3.9429409898860985</v>
      </c>
      <c r="R171" s="114">
        <v>1111054.504962398</v>
      </c>
      <c r="S171" s="114">
        <v>2.2547339290803112</v>
      </c>
      <c r="T171" s="114">
        <v>3306.1362165637811</v>
      </c>
      <c r="U171" s="114">
        <v>4.6407213003840724</v>
      </c>
      <c r="V171" s="114">
        <v>4049.2017375664082</v>
      </c>
      <c r="W171" s="114">
        <v>2.8640118393844656</v>
      </c>
      <c r="X171" s="114">
        <v>5043211.5728572728</v>
      </c>
      <c r="Y171" s="114">
        <v>2.308947276765748</v>
      </c>
      <c r="Z171" s="114">
        <v>2792.2492289979896</v>
      </c>
      <c r="AA171" s="114">
        <v>8.091426177757377</v>
      </c>
      <c r="AB171" s="114">
        <v>1071550.475296973</v>
      </c>
      <c r="AC171" s="114">
        <v>2.3392938322827073</v>
      </c>
      <c r="AD171" s="114">
        <v>4965169.4313732209</v>
      </c>
      <c r="AE171" s="114">
        <v>2.3454031155466564</v>
      </c>
      <c r="AF171" s="382">
        <v>4.6145966803288356</v>
      </c>
      <c r="AG171" s="163">
        <v>2.3723038645911965E-2</v>
      </c>
      <c r="AH171" s="436">
        <v>4.6333536875146546</v>
      </c>
      <c r="AI171" s="434">
        <v>2.2318582061202026E-2</v>
      </c>
      <c r="AJ171" s="21">
        <v>0</v>
      </c>
      <c r="AL171" s="21">
        <v>0</v>
      </c>
    </row>
    <row r="172" spans="1:38" s="21" customFormat="1" x14ac:dyDescent="0.15">
      <c r="A172" s="113" t="s">
        <v>750</v>
      </c>
      <c r="B172" s="324">
        <v>21192.193671975885</v>
      </c>
      <c r="C172" s="114">
        <v>0.11696794778040716</v>
      </c>
      <c r="D172" s="114">
        <v>35359.962392823465</v>
      </c>
      <c r="E172" s="114">
        <v>6.5984382114038745E-2</v>
      </c>
      <c r="F172" s="114">
        <v>8672.9164762143846</v>
      </c>
      <c r="G172" s="114">
        <v>0.84918753727882146</v>
      </c>
      <c r="H172" s="114">
        <v>8672.9164762143846</v>
      </c>
      <c r="I172" s="114">
        <v>0.84918753727882146</v>
      </c>
      <c r="J172" s="114">
        <v>74960.500006095914</v>
      </c>
      <c r="K172" s="114">
        <v>5.2618962438650475E-2</v>
      </c>
      <c r="L172" s="114">
        <v>3046.8371543004982</v>
      </c>
      <c r="M172" s="114"/>
      <c r="N172" s="163">
        <v>2.1199258973564303</v>
      </c>
      <c r="O172" s="163">
        <v>1.961045395052061</v>
      </c>
      <c r="P172" s="324">
        <v>2794.9310751187854</v>
      </c>
      <c r="Q172" s="114">
        <v>6.9845868242354454</v>
      </c>
      <c r="R172" s="114">
        <v>456724.80646588886</v>
      </c>
      <c r="S172" s="114">
        <v>3.2112784071181455</v>
      </c>
      <c r="T172" s="114">
        <v>3235.7713720418596</v>
      </c>
      <c r="U172" s="114">
        <v>18.463545869445493</v>
      </c>
      <c r="V172" s="114">
        <v>2996.5357230658301</v>
      </c>
      <c r="W172" s="114">
        <v>9.6241858244850977</v>
      </c>
      <c r="X172" s="114">
        <v>1980948.9497428481</v>
      </c>
      <c r="Y172" s="114">
        <v>3.3445946755544353</v>
      </c>
      <c r="Z172" s="114">
        <v>2449.4255328841691</v>
      </c>
      <c r="AA172" s="114">
        <v>9.1494094805528405</v>
      </c>
      <c r="AB172" s="114">
        <v>418368.30834999948</v>
      </c>
      <c r="AC172" s="114">
        <v>3.4959625925272717</v>
      </c>
      <c r="AD172" s="114">
        <v>1903539.0242038679</v>
      </c>
      <c r="AE172" s="114">
        <v>3.4810610926548873</v>
      </c>
      <c r="AF172" s="382">
        <v>4.5171930930510307</v>
      </c>
      <c r="AG172" s="163">
        <v>2.5569535909249395E-2</v>
      </c>
      <c r="AH172" s="436">
        <v>4.5514614030144003</v>
      </c>
      <c r="AI172" s="434">
        <v>7.8433175354766474E-2</v>
      </c>
      <c r="AJ172" s="21">
        <v>0</v>
      </c>
      <c r="AL172" s="21">
        <v>0</v>
      </c>
    </row>
    <row r="173" spans="1:38" s="21" customFormat="1" x14ac:dyDescent="0.15">
      <c r="A173" s="113" t="s">
        <v>751</v>
      </c>
      <c r="B173" s="324">
        <v>21296.608462664357</v>
      </c>
      <c r="C173" s="114">
        <v>0.10568853794641965</v>
      </c>
      <c r="D173" s="114">
        <v>35390.374138404128</v>
      </c>
      <c r="E173" s="114">
        <v>6.7487356453256903E-2</v>
      </c>
      <c r="F173" s="114">
        <v>8728.9775093216449</v>
      </c>
      <c r="G173" s="114">
        <v>0.8988117182667984</v>
      </c>
      <c r="H173" s="114">
        <v>8728.9775093216449</v>
      </c>
      <c r="I173" s="114">
        <v>0.8988117182667984</v>
      </c>
      <c r="J173" s="114">
        <v>75866.510750268746</v>
      </c>
      <c r="K173" s="114">
        <v>6.4579778697191254E-2</v>
      </c>
      <c r="L173" s="114">
        <v>2373.3778143266486</v>
      </c>
      <c r="M173" s="114"/>
      <c r="N173" s="163">
        <v>2.1437046823402084</v>
      </c>
      <c r="O173" s="163">
        <v>1.9067742791731923</v>
      </c>
      <c r="P173" s="324">
        <v>2683.365540104729</v>
      </c>
      <c r="Q173" s="114">
        <v>6.5212497861891503</v>
      </c>
      <c r="R173" s="114">
        <v>417335.90397450794</v>
      </c>
      <c r="S173" s="114">
        <v>6.620484786703277</v>
      </c>
      <c r="T173" s="114">
        <v>2374.4108903585575</v>
      </c>
      <c r="U173" s="114">
        <v>24.720694404566412</v>
      </c>
      <c r="V173" s="114">
        <v>2542.0747056950331</v>
      </c>
      <c r="W173" s="114">
        <v>11.071280167310446</v>
      </c>
      <c r="X173" s="114">
        <v>1802960.954170008</v>
      </c>
      <c r="Y173" s="114">
        <v>6.9555790917616234</v>
      </c>
      <c r="Z173" s="114">
        <v>2363.3674777001247</v>
      </c>
      <c r="AA173" s="114">
        <v>8.6515249537359349</v>
      </c>
      <c r="AB173" s="114">
        <v>379403.45513040898</v>
      </c>
      <c r="AC173" s="114">
        <v>7.2659321593587984</v>
      </c>
      <c r="AD173" s="114">
        <v>1724731.0759420402</v>
      </c>
      <c r="AE173" s="114">
        <v>7.2659855944937215</v>
      </c>
      <c r="AF173" s="382">
        <v>4.5037511356745847</v>
      </c>
      <c r="AG173" s="163">
        <v>5.3929879178133619E-2</v>
      </c>
      <c r="AH173" s="436">
        <v>4.5465772206020612</v>
      </c>
      <c r="AI173" s="434">
        <v>9.3938866660423753E-2</v>
      </c>
      <c r="AJ173" s="21">
        <v>0</v>
      </c>
      <c r="AL173" s="21">
        <v>0</v>
      </c>
    </row>
    <row r="174" spans="1:38" s="21" customFormat="1" x14ac:dyDescent="0.15">
      <c r="A174" s="113" t="s">
        <v>752</v>
      </c>
      <c r="B174" s="324">
        <v>21435.13057097272</v>
      </c>
      <c r="C174" s="114">
        <v>0.11432612193858681</v>
      </c>
      <c r="D174" s="114">
        <v>35373.554433883466</v>
      </c>
      <c r="E174" s="114">
        <v>5.8712897944404048E-2</v>
      </c>
      <c r="F174" s="114">
        <v>10086.293499463152</v>
      </c>
      <c r="G174" s="114">
        <v>0.77178666526192463</v>
      </c>
      <c r="H174" s="114">
        <v>10086.293499463152</v>
      </c>
      <c r="I174" s="114">
        <v>0.77178666526192463</v>
      </c>
      <c r="J174" s="114">
        <v>75944.345259031863</v>
      </c>
      <c r="K174" s="114">
        <v>5.2348972816704899E-2</v>
      </c>
      <c r="L174" s="114">
        <v>2209.2267291059466</v>
      </c>
      <c r="M174" s="114"/>
      <c r="N174" s="163">
        <v>2.1469243471412822</v>
      </c>
      <c r="O174" s="163">
        <v>1.9202105382191093</v>
      </c>
      <c r="P174" s="324">
        <v>2418.5124582549079</v>
      </c>
      <c r="Q174" s="114">
        <v>8.4407387147114701</v>
      </c>
      <c r="R174" s="114">
        <v>454183.01339705894</v>
      </c>
      <c r="S174" s="114">
        <v>3.7136825970199223</v>
      </c>
      <c r="T174" s="114">
        <v>1868.5953067433798</v>
      </c>
      <c r="U174" s="114">
        <v>35.133157445272303</v>
      </c>
      <c r="V174" s="114">
        <v>2167.0248912054999</v>
      </c>
      <c r="W174" s="114">
        <v>13.548218019086377</v>
      </c>
      <c r="X174" s="114">
        <v>1968460.6928316178</v>
      </c>
      <c r="Y174" s="114">
        <v>3.9114924857316833</v>
      </c>
      <c r="Z174" s="114">
        <v>2634.2308819190794</v>
      </c>
      <c r="AA174" s="114">
        <v>8.0358105236720334</v>
      </c>
      <c r="AB174" s="114">
        <v>416642.43407197006</v>
      </c>
      <c r="AC174" s="114">
        <v>4.0477581939669491</v>
      </c>
      <c r="AD174" s="114">
        <v>1889882.1166906666</v>
      </c>
      <c r="AE174" s="114">
        <v>4.0729416330811858</v>
      </c>
      <c r="AF174" s="382">
        <v>4.5102422666509732</v>
      </c>
      <c r="AG174" s="163">
        <v>6.137557381399332E-2</v>
      </c>
      <c r="AH174" s="436">
        <v>4.5328177199382189</v>
      </c>
      <c r="AI174" s="434">
        <v>7.5220656929736576E-2</v>
      </c>
      <c r="AJ174" s="21">
        <v>0</v>
      </c>
      <c r="AL174" s="21">
        <v>0</v>
      </c>
    </row>
    <row r="175" spans="1:38" s="21" customFormat="1" x14ac:dyDescent="0.15">
      <c r="A175" s="113" t="s">
        <v>753</v>
      </c>
      <c r="B175" s="324">
        <v>21190.939703621567</v>
      </c>
      <c r="C175" s="114">
        <v>0.1158513527149726</v>
      </c>
      <c r="D175" s="114">
        <v>35231.294861544928</v>
      </c>
      <c r="E175" s="114">
        <v>6.7753999665355474E-2</v>
      </c>
      <c r="F175" s="114">
        <v>9755.8887718233873</v>
      </c>
      <c r="G175" s="114">
        <v>0.66653126355869297</v>
      </c>
      <c r="H175" s="114">
        <v>9755.8887718233873</v>
      </c>
      <c r="I175" s="114">
        <v>0.66653126355869297</v>
      </c>
      <c r="J175" s="114">
        <v>75820.657772146718</v>
      </c>
      <c r="K175" s="114">
        <v>4.2800188773583422E-2</v>
      </c>
      <c r="L175" s="114">
        <v>2743.4395234522558</v>
      </c>
      <c r="M175" s="114"/>
      <c r="N175" s="163">
        <v>2.1520826319359956</v>
      </c>
      <c r="O175" s="163">
        <v>1.9627859628465745</v>
      </c>
      <c r="P175" s="324">
        <v>2847.7672364323639</v>
      </c>
      <c r="Q175" s="114">
        <v>7.3520377594835864</v>
      </c>
      <c r="R175" s="114">
        <v>543849.56320414995</v>
      </c>
      <c r="S175" s="114">
        <v>5.8105976015608922</v>
      </c>
      <c r="T175" s="114">
        <v>2798.0163817840976</v>
      </c>
      <c r="U175" s="114">
        <v>20.931660676118891</v>
      </c>
      <c r="V175" s="114">
        <v>2825.015224861655</v>
      </c>
      <c r="W175" s="114">
        <v>10.059761450386068</v>
      </c>
      <c r="X175" s="114">
        <v>2377103.736057661</v>
      </c>
      <c r="Y175" s="114">
        <v>6.0284819643738965</v>
      </c>
      <c r="Z175" s="114">
        <v>3358.284539074155</v>
      </c>
      <c r="AA175" s="114">
        <v>8.7070155180102002</v>
      </c>
      <c r="AB175" s="114">
        <v>505793.25311774324</v>
      </c>
      <c r="AC175" s="114">
        <v>6.2253295782136622</v>
      </c>
      <c r="AD175" s="114">
        <v>2297924.7937464402</v>
      </c>
      <c r="AE175" s="114">
        <v>6.2298056297117581</v>
      </c>
      <c r="AF175" s="382">
        <v>4.5141330593255145</v>
      </c>
      <c r="AG175" s="163">
        <v>3.9882479597756322E-2</v>
      </c>
      <c r="AH175" s="436">
        <v>4.5425994789895583</v>
      </c>
      <c r="AI175" s="434">
        <v>6.2434710301310176E-2</v>
      </c>
      <c r="AJ175" s="21">
        <v>0</v>
      </c>
      <c r="AL175" s="21">
        <v>0</v>
      </c>
    </row>
    <row r="176" spans="1:38" s="21" customFormat="1" x14ac:dyDescent="0.15">
      <c r="A176" s="113" t="s">
        <v>754</v>
      </c>
      <c r="B176" s="324">
        <v>21153.513956119641</v>
      </c>
      <c r="C176" s="114">
        <v>0.10796029797357075</v>
      </c>
      <c r="D176" s="114">
        <v>35449.239943019275</v>
      </c>
      <c r="E176" s="114">
        <v>5.1570601148107791E-2</v>
      </c>
      <c r="F176" s="114">
        <v>10748.819642429116</v>
      </c>
      <c r="G176" s="114">
        <v>0.63098068240023653</v>
      </c>
      <c r="H176" s="114">
        <v>10748.819642429116</v>
      </c>
      <c r="I176" s="114">
        <v>0.63098068240023653</v>
      </c>
      <c r="J176" s="114">
        <v>75741.456984599237</v>
      </c>
      <c r="K176" s="114">
        <v>5.662611995010064E-2</v>
      </c>
      <c r="L176" s="114">
        <v>2475.3408831885463</v>
      </c>
      <c r="M176" s="114"/>
      <c r="N176" s="163">
        <v>2.1366172337219425</v>
      </c>
      <c r="O176" s="163">
        <v>1.948974690033521</v>
      </c>
      <c r="P176" s="324">
        <v>3115.4380222033833</v>
      </c>
      <c r="Q176" s="114">
        <v>8.037099474829569</v>
      </c>
      <c r="R176" s="114">
        <v>448271.72606183385</v>
      </c>
      <c r="S176" s="114">
        <v>6.8533494555611405</v>
      </c>
      <c r="T176" s="114">
        <v>2013.910132651702</v>
      </c>
      <c r="U176" s="114">
        <v>27.248880463356166</v>
      </c>
      <c r="V176" s="114">
        <v>2611.6883787907523</v>
      </c>
      <c r="W176" s="114">
        <v>11.373886459293168</v>
      </c>
      <c r="X176" s="114">
        <v>1940688.5896462717</v>
      </c>
      <c r="Y176" s="114">
        <v>7.1719641914463441</v>
      </c>
      <c r="Z176" s="114">
        <v>2795.4972548246219</v>
      </c>
      <c r="AA176" s="114">
        <v>8.2166032315127708</v>
      </c>
      <c r="AB176" s="114">
        <v>410210.79774002364</v>
      </c>
      <c r="AC176" s="114">
        <v>7.4614146314402543</v>
      </c>
      <c r="AD176" s="114">
        <v>1862151.6354068478</v>
      </c>
      <c r="AE176" s="114">
        <v>7.4728454006981471</v>
      </c>
      <c r="AF176" s="382">
        <v>4.5086852481287529</v>
      </c>
      <c r="AG176" s="163">
        <v>4.7768380441135808E-2</v>
      </c>
      <c r="AH176" s="436">
        <v>4.5377801284942452</v>
      </c>
      <c r="AI176" s="434">
        <v>7.368364065195275E-2</v>
      </c>
      <c r="AJ176" s="21">
        <v>0</v>
      </c>
      <c r="AL176" s="21">
        <v>0</v>
      </c>
    </row>
    <row r="177" spans="1:38" s="21" customFormat="1" x14ac:dyDescent="0.15">
      <c r="A177" s="113" t="s">
        <v>755</v>
      </c>
      <c r="B177" s="324">
        <v>21307.111080864546</v>
      </c>
      <c r="C177" s="114">
        <v>0.11165892126127382</v>
      </c>
      <c r="D177" s="114">
        <v>35209.265069229128</v>
      </c>
      <c r="E177" s="114">
        <v>5.8832559727232031E-2</v>
      </c>
      <c r="F177" s="114">
        <v>9763.4125396718264</v>
      </c>
      <c r="G177" s="114">
        <v>0.76897398470839784</v>
      </c>
      <c r="H177" s="114">
        <v>9763.4125396718264</v>
      </c>
      <c r="I177" s="114">
        <v>0.76897398470839784</v>
      </c>
      <c r="J177" s="114">
        <v>75780.470274606618</v>
      </c>
      <c r="K177" s="114">
        <v>4.3775402819219655E-2</v>
      </c>
      <c r="L177" s="114">
        <v>2744.6256575995467</v>
      </c>
      <c r="M177" s="114"/>
      <c r="N177" s="163">
        <v>2.1522877607813062</v>
      </c>
      <c r="O177" s="163">
        <v>1.9660626036444386</v>
      </c>
      <c r="P177" s="324">
        <v>2992.7217400021405</v>
      </c>
      <c r="Q177" s="114">
        <v>5.9335334296438988</v>
      </c>
      <c r="R177" s="114">
        <v>488409.59751971054</v>
      </c>
      <c r="S177" s="114">
        <v>7.0321957711620282</v>
      </c>
      <c r="T177" s="114">
        <v>2208.465314285259</v>
      </c>
      <c r="U177" s="114">
        <v>26.707844300546324</v>
      </c>
      <c r="V177" s="114">
        <v>2634.0663681806104</v>
      </c>
      <c r="W177" s="114">
        <v>10.897236455020147</v>
      </c>
      <c r="X177" s="114">
        <v>2121814.368876324</v>
      </c>
      <c r="Y177" s="114">
        <v>7.3243963349151047</v>
      </c>
      <c r="Z177" s="114">
        <v>2799.6683063266055</v>
      </c>
      <c r="AA177" s="114">
        <v>9.3422497023075302</v>
      </c>
      <c r="AB177" s="114">
        <v>450566.26608230075</v>
      </c>
      <c r="AC177" s="114">
        <v>7.6145806173316268</v>
      </c>
      <c r="AD177" s="114">
        <v>2043234.2302953913</v>
      </c>
      <c r="AE177" s="114">
        <v>7.6003336058237911</v>
      </c>
      <c r="AF177" s="382">
        <v>4.5070747376082876</v>
      </c>
      <c r="AG177" s="163">
        <v>4.7603864033385714E-2</v>
      </c>
      <c r="AH177" s="436">
        <v>4.5362597747142619</v>
      </c>
      <c r="AI177" s="434">
        <v>7.0551416359929175E-2</v>
      </c>
      <c r="AJ177" s="21">
        <v>0</v>
      </c>
      <c r="AL177" s="21">
        <v>0</v>
      </c>
    </row>
    <row r="178" spans="1:38" s="21" customFormat="1" x14ac:dyDescent="0.15">
      <c r="A178" s="113" t="s">
        <v>756</v>
      </c>
      <c r="B178" s="324">
        <v>21461.607043138487</v>
      </c>
      <c r="C178" s="114">
        <v>0.1155106345171841</v>
      </c>
      <c r="D178" s="114">
        <v>35355.822907576097</v>
      </c>
      <c r="E178" s="114">
        <v>6.0113894817670495E-2</v>
      </c>
      <c r="F178" s="114">
        <v>9686.5960874950488</v>
      </c>
      <c r="G178" s="114">
        <v>0.89731774996204461</v>
      </c>
      <c r="H178" s="114">
        <v>9686.5960874950488</v>
      </c>
      <c r="I178" s="114">
        <v>0.89731774996204461</v>
      </c>
      <c r="J178" s="114">
        <v>75757.87586768964</v>
      </c>
      <c r="K178" s="114">
        <v>5.5462252032205978E-2</v>
      </c>
      <c r="L178" s="114">
        <v>2766.1425856841142</v>
      </c>
      <c r="M178" s="114"/>
      <c r="N178" s="163">
        <v>2.1427269863221352</v>
      </c>
      <c r="O178" s="163">
        <v>1.9527625205810262</v>
      </c>
      <c r="P178" s="324">
        <v>2824.6099861425187</v>
      </c>
      <c r="Q178" s="114">
        <v>7.5802894897548612</v>
      </c>
      <c r="R178" s="114">
        <v>418187.78150064213</v>
      </c>
      <c r="S178" s="114">
        <v>3.2595468297258474</v>
      </c>
      <c r="T178" s="114">
        <v>2307.1683440268184</v>
      </c>
      <c r="U178" s="114">
        <v>21.986902609288858</v>
      </c>
      <c r="V178" s="114">
        <v>2587.9740868837916</v>
      </c>
      <c r="W178" s="114">
        <v>10.243368142402502</v>
      </c>
      <c r="X178" s="114">
        <v>1804762.5530547844</v>
      </c>
      <c r="Y178" s="114">
        <v>3.4106443194070373</v>
      </c>
      <c r="Z178" s="114">
        <v>3529.7052076508212</v>
      </c>
      <c r="AA178" s="114">
        <v>7.4598215994913009</v>
      </c>
      <c r="AB178" s="114">
        <v>380243.98450618226</v>
      </c>
      <c r="AC178" s="114">
        <v>3.5619736098826653</v>
      </c>
      <c r="AD178" s="114">
        <v>1725474.9719794439</v>
      </c>
      <c r="AE178" s="114">
        <v>3.5674250612874525</v>
      </c>
      <c r="AF178" s="382">
        <v>4.5065501136355843</v>
      </c>
      <c r="AG178" s="163">
        <v>3.9779770585215847E-2</v>
      </c>
      <c r="AH178" s="436">
        <v>4.537397946377685</v>
      </c>
      <c r="AI178" s="434">
        <v>8.0571167235225311E-2</v>
      </c>
      <c r="AJ178" s="21">
        <v>0</v>
      </c>
      <c r="AL178" s="21">
        <v>0</v>
      </c>
    </row>
    <row r="179" spans="1:38" s="21" customFormat="1" x14ac:dyDescent="0.15">
      <c r="A179" s="113" t="s">
        <v>757</v>
      </c>
      <c r="B179" s="324">
        <v>21214.383467345717</v>
      </c>
      <c r="C179" s="114">
        <v>0.1321738202603551</v>
      </c>
      <c r="D179" s="114">
        <v>35567.385311381418</v>
      </c>
      <c r="E179" s="114">
        <v>6.4544347220870171E-2</v>
      </c>
      <c r="F179" s="114">
        <v>9290.8707691745203</v>
      </c>
      <c r="G179" s="114">
        <v>0.90995618016311186</v>
      </c>
      <c r="H179" s="114">
        <v>9290.8707691745203</v>
      </c>
      <c r="I179" s="114">
        <v>0.90995618016311186</v>
      </c>
      <c r="J179" s="114">
        <v>75991.999056702713</v>
      </c>
      <c r="K179" s="114">
        <v>4.8206127791204124E-2</v>
      </c>
      <c r="L179" s="114">
        <v>3045.3285650114185</v>
      </c>
      <c r="M179" s="114"/>
      <c r="N179" s="163">
        <v>2.1365641132013597</v>
      </c>
      <c r="O179" s="163">
        <v>1.9657613213182332</v>
      </c>
      <c r="P179" s="324">
        <v>3044.7413573883232</v>
      </c>
      <c r="Q179" s="114">
        <v>7.0578921440536115</v>
      </c>
      <c r="R179" s="114">
        <v>550648.6076463291</v>
      </c>
      <c r="S179" s="114">
        <v>5.8999100991117022</v>
      </c>
      <c r="T179" s="114">
        <v>2828.2239710854251</v>
      </c>
      <c r="U179" s="114">
        <v>22.085051383179472</v>
      </c>
      <c r="V179" s="114">
        <v>2945.7238407395971</v>
      </c>
      <c r="W179" s="114">
        <v>10.517561964992749</v>
      </c>
      <c r="X179" s="114">
        <v>2402998.1536814407</v>
      </c>
      <c r="Y179" s="114">
        <v>6.1345751971722491</v>
      </c>
      <c r="Z179" s="114">
        <v>3226.2322764103778</v>
      </c>
      <c r="AA179" s="114">
        <v>7.9310216704395016</v>
      </c>
      <c r="AB179" s="114">
        <v>512135.49849420827</v>
      </c>
      <c r="AC179" s="114">
        <v>6.3338842509197653</v>
      </c>
      <c r="AD179" s="114">
        <v>2323779.9223483289</v>
      </c>
      <c r="AE179" s="114">
        <v>6.3425602835806876</v>
      </c>
      <c r="AF179" s="382">
        <v>4.5127756771806151</v>
      </c>
      <c r="AG179" s="163">
        <v>3.9016807408444973E-2</v>
      </c>
      <c r="AH179" s="436">
        <v>4.5360629615613197</v>
      </c>
      <c r="AI179" s="434">
        <v>8.6636002914903712E-2</v>
      </c>
      <c r="AJ179" s="21">
        <v>0</v>
      </c>
      <c r="AL179" s="21">
        <v>0</v>
      </c>
    </row>
    <row r="180" spans="1:38" s="21" customFormat="1" x14ac:dyDescent="0.15">
      <c r="A180" s="113" t="s">
        <v>758</v>
      </c>
      <c r="B180" s="324">
        <v>21539.141840528442</v>
      </c>
      <c r="C180" s="114">
        <v>0.10338243682579105</v>
      </c>
      <c r="D180" s="114">
        <v>35697.418675912006</v>
      </c>
      <c r="E180" s="114">
        <v>6.3654496048130879E-2</v>
      </c>
      <c r="F180" s="114">
        <v>10935.129561398855</v>
      </c>
      <c r="G180" s="114">
        <v>0.75651035958406676</v>
      </c>
      <c r="H180" s="114">
        <v>10935.129561398855</v>
      </c>
      <c r="I180" s="114">
        <v>0.75651035958406676</v>
      </c>
      <c r="J180" s="114">
        <v>76055.77401921479</v>
      </c>
      <c r="K180" s="114">
        <v>5.3110736889163526E-2</v>
      </c>
      <c r="L180" s="114">
        <v>1712.8454964033406</v>
      </c>
      <c r="M180" s="114"/>
      <c r="N180" s="163">
        <v>2.1305678909084791</v>
      </c>
      <c r="O180" s="163">
        <v>1.8835128861482549</v>
      </c>
      <c r="P180" s="324">
        <v>2215.5919469596415</v>
      </c>
      <c r="Q180" s="114">
        <v>10.887279071213504</v>
      </c>
      <c r="R180" s="114">
        <v>674404.47556405771</v>
      </c>
      <c r="S180" s="114">
        <v>6.9220653736013258</v>
      </c>
      <c r="T180" s="114">
        <v>699.71660158118982</v>
      </c>
      <c r="U180" s="114">
        <v>80.745626293954331</v>
      </c>
      <c r="V180" s="114">
        <v>1522.353335449601</v>
      </c>
      <c r="W180" s="114">
        <v>17.94701280827358</v>
      </c>
      <c r="X180" s="114">
        <v>2969510.695461649</v>
      </c>
      <c r="Y180" s="114">
        <v>7.137455413922277</v>
      </c>
      <c r="Z180" s="114">
        <v>2432.6384853873551</v>
      </c>
      <c r="AA180" s="114">
        <v>12.598056138188966</v>
      </c>
      <c r="AB180" s="114">
        <v>637184.70355269604</v>
      </c>
      <c r="AC180" s="114">
        <v>7.3263278723989149</v>
      </c>
      <c r="AD180" s="114">
        <v>2891022.2829570449</v>
      </c>
      <c r="AE180" s="114">
        <v>7.3303451876482857</v>
      </c>
      <c r="AF180" s="382">
        <v>4.5255845371583083</v>
      </c>
      <c r="AG180" s="163">
        <v>4.0005991866926008E-2</v>
      </c>
      <c r="AH180" s="436">
        <v>4.535623425276337</v>
      </c>
      <c r="AI180" s="434">
        <v>5.4686921059919527E-2</v>
      </c>
      <c r="AJ180" s="21">
        <v>0</v>
      </c>
      <c r="AL180" s="21">
        <v>0</v>
      </c>
    </row>
    <row r="181" spans="1:38" s="21" customFormat="1" x14ac:dyDescent="0.15">
      <c r="A181" s="113" t="s">
        <v>759</v>
      </c>
      <c r="B181" s="324">
        <v>21556.281810029122</v>
      </c>
      <c r="C181" s="114">
        <v>0.10344954574380867</v>
      </c>
      <c r="D181" s="114">
        <v>35614.864687649395</v>
      </c>
      <c r="E181" s="114">
        <v>6.2349323515861227E-2</v>
      </c>
      <c r="F181" s="114">
        <v>9917.8623727852937</v>
      </c>
      <c r="G181" s="114">
        <v>0.7336843124123128</v>
      </c>
      <c r="H181" s="114">
        <v>9917.8623727852937</v>
      </c>
      <c r="I181" s="114">
        <v>0.7336843124123128</v>
      </c>
      <c r="J181" s="114">
        <v>76225.472755010633</v>
      </c>
      <c r="K181" s="114">
        <v>4.4885556982191745E-2</v>
      </c>
      <c r="L181" s="114">
        <v>2641.7975021324451</v>
      </c>
      <c r="M181" s="114"/>
      <c r="N181" s="163">
        <v>2.1402713002990654</v>
      </c>
      <c r="O181" s="163">
        <v>1.9217000141315059</v>
      </c>
      <c r="P181" s="324">
        <v>3135.7648403031162</v>
      </c>
      <c r="Q181" s="114">
        <v>7.4516135906349446</v>
      </c>
      <c r="R181" s="114">
        <v>722885.53089473955</v>
      </c>
      <c r="S181" s="114">
        <v>4.803442207213644</v>
      </c>
      <c r="T181" s="114">
        <v>1824.1764247611611</v>
      </c>
      <c r="U181" s="114">
        <v>33.147636893244048</v>
      </c>
      <c r="V181" s="114">
        <v>2535.9505252045628</v>
      </c>
      <c r="W181" s="114">
        <v>11.897182700399259</v>
      </c>
      <c r="X181" s="114">
        <v>3183011.2692737686</v>
      </c>
      <c r="Y181" s="114">
        <v>4.9397622106642052</v>
      </c>
      <c r="Z181" s="114">
        <v>2810.5015347837289</v>
      </c>
      <c r="AA181" s="114">
        <v>8.6534865549399012</v>
      </c>
      <c r="AB181" s="114">
        <v>684734.71568188549</v>
      </c>
      <c r="AC181" s="114">
        <v>5.0530853391600576</v>
      </c>
      <c r="AD181" s="114">
        <v>3103975.2949839747</v>
      </c>
      <c r="AE181" s="114">
        <v>5.0626018946308573</v>
      </c>
      <c r="AF181" s="382">
        <v>4.5150388348570498</v>
      </c>
      <c r="AG181" s="163">
        <v>2.7549204114349898E-2</v>
      </c>
      <c r="AH181" s="436">
        <v>4.5322852097137822</v>
      </c>
      <c r="AI181" s="434">
        <v>5.1254063378416911E-2</v>
      </c>
      <c r="AJ181" s="21">
        <v>0</v>
      </c>
      <c r="AL181" s="21">
        <v>0</v>
      </c>
    </row>
    <row r="182" spans="1:38" s="21" customFormat="1" x14ac:dyDescent="0.15">
      <c r="A182" s="113" t="s">
        <v>760</v>
      </c>
      <c r="B182" s="324">
        <v>21589.057639921113</v>
      </c>
      <c r="C182" s="114">
        <v>0.11962120474128848</v>
      </c>
      <c r="D182" s="114">
        <v>35549.712559317682</v>
      </c>
      <c r="E182" s="114">
        <v>6.5230951883267371E-2</v>
      </c>
      <c r="F182" s="114">
        <v>9421.6983509381735</v>
      </c>
      <c r="G182" s="114">
        <v>0.88948910121987135</v>
      </c>
      <c r="H182" s="114">
        <v>9421.6983509381735</v>
      </c>
      <c r="I182" s="114">
        <v>0.88948910121987135</v>
      </c>
      <c r="J182" s="114">
        <v>75677.767019555264</v>
      </c>
      <c r="K182" s="114">
        <v>5.5127626642954279E-2</v>
      </c>
      <c r="L182" s="114">
        <v>2850.9668486113219</v>
      </c>
      <c r="M182" s="114"/>
      <c r="N182" s="163">
        <v>2.1287870300858427</v>
      </c>
      <c r="O182" s="163">
        <v>1.9276744591228863</v>
      </c>
      <c r="P182" s="324">
        <v>2620.0871188128222</v>
      </c>
      <c r="Q182" s="114">
        <v>8.1940898011125629</v>
      </c>
      <c r="R182" s="114">
        <v>422424.80525555531</v>
      </c>
      <c r="S182" s="114">
        <v>2.9572120564510311</v>
      </c>
      <c r="T182" s="114">
        <v>2792.0782030202299</v>
      </c>
      <c r="U182" s="114">
        <v>21.125175925534077</v>
      </c>
      <c r="V182" s="114">
        <v>2698.7419110894784</v>
      </c>
      <c r="W182" s="114">
        <v>10.741220389755732</v>
      </c>
      <c r="X182" s="114">
        <v>1823109.5338612164</v>
      </c>
      <c r="Y182" s="114">
        <v>3.1012905081102566</v>
      </c>
      <c r="Z182" s="114">
        <v>2388.4039254062759</v>
      </c>
      <c r="AA182" s="114">
        <v>10.677634255035514</v>
      </c>
      <c r="AB182" s="114">
        <v>384176.35078514804</v>
      </c>
      <c r="AC182" s="114">
        <v>3.2414169731160447</v>
      </c>
      <c r="AD182" s="114">
        <v>1745043.3629162547</v>
      </c>
      <c r="AE182" s="114">
        <v>3.2338932738264097</v>
      </c>
      <c r="AF182" s="382">
        <v>4.5080810621501515</v>
      </c>
      <c r="AG182" s="163">
        <v>5.9419157537321132E-2</v>
      </c>
      <c r="AH182" s="436">
        <v>4.5433268703731091</v>
      </c>
      <c r="AI182" s="434">
        <v>9.5204507802521002E-2</v>
      </c>
      <c r="AJ182" s="21">
        <v>0</v>
      </c>
      <c r="AL182" s="21">
        <v>0</v>
      </c>
    </row>
    <row r="183" spans="1:38" s="21" customFormat="1" x14ac:dyDescent="0.15">
      <c r="A183" s="113" t="s">
        <v>761</v>
      </c>
      <c r="B183" s="324">
        <v>21562.206340464218</v>
      </c>
      <c r="C183" s="114">
        <v>9.5815277011502678E-2</v>
      </c>
      <c r="D183" s="114">
        <v>35622.86687538457</v>
      </c>
      <c r="E183" s="114">
        <v>5.9687244607708384E-2</v>
      </c>
      <c r="F183" s="114">
        <v>8815.3855486424945</v>
      </c>
      <c r="G183" s="114">
        <v>0.7519586129239112</v>
      </c>
      <c r="H183" s="114">
        <v>8815.3855486424945</v>
      </c>
      <c r="I183" s="114">
        <v>0.7519586129239112</v>
      </c>
      <c r="J183" s="114">
        <v>76071.668555501848</v>
      </c>
      <c r="K183" s="114">
        <v>4.9991089758570327E-2</v>
      </c>
      <c r="L183" s="114">
        <v>2743.6159474864357</v>
      </c>
      <c r="M183" s="114"/>
      <c r="N183" s="163">
        <v>2.1354729483624868</v>
      </c>
      <c r="O183" s="163">
        <v>1.9519971224572406</v>
      </c>
      <c r="P183" s="324">
        <v>2823.2048771647351</v>
      </c>
      <c r="Q183" s="114">
        <v>6.6997403800934556</v>
      </c>
      <c r="R183" s="114">
        <v>544524.2019250415</v>
      </c>
      <c r="S183" s="114">
        <v>5.5618732026821149</v>
      </c>
      <c r="T183" s="114">
        <v>2701.9431770443202</v>
      </c>
      <c r="U183" s="114">
        <v>21.957200953706792</v>
      </c>
      <c r="V183" s="114">
        <v>2767.7495965724925</v>
      </c>
      <c r="W183" s="114">
        <v>10.160403064059944</v>
      </c>
      <c r="X183" s="114">
        <v>2372804.841690707</v>
      </c>
      <c r="Y183" s="114">
        <v>5.7692854193034195</v>
      </c>
      <c r="Z183" s="114">
        <v>2786.4138844012691</v>
      </c>
      <c r="AA183" s="114">
        <v>8.6009264249710551</v>
      </c>
      <c r="AB183" s="114">
        <v>506133.5854530842</v>
      </c>
      <c r="AC183" s="114">
        <v>5.9711165433357483</v>
      </c>
      <c r="AD183" s="114">
        <v>2293946.7592508025</v>
      </c>
      <c r="AE183" s="114">
        <v>5.966042793715741</v>
      </c>
      <c r="AF183" s="382">
        <v>4.505254478089185</v>
      </c>
      <c r="AG183" s="163">
        <v>5.3655667461055205E-2</v>
      </c>
      <c r="AH183" s="436">
        <v>4.5329476867854757</v>
      </c>
      <c r="AI183" s="434">
        <v>6.3012765288871925E-2</v>
      </c>
      <c r="AJ183" s="21">
        <v>0</v>
      </c>
      <c r="AL183" s="21">
        <v>0</v>
      </c>
    </row>
    <row r="184" spans="1:38" s="21" customFormat="1" x14ac:dyDescent="0.15">
      <c r="A184" s="113" t="s">
        <v>762</v>
      </c>
      <c r="B184" s="324">
        <v>21612.74956661748</v>
      </c>
      <c r="C184" s="114">
        <v>0.10081441115081806</v>
      </c>
      <c r="D184" s="114">
        <v>35298.020320685668</v>
      </c>
      <c r="E184" s="114">
        <v>6.0751921813934136E-2</v>
      </c>
      <c r="F184" s="114">
        <v>10160.089980124956</v>
      </c>
      <c r="G184" s="114">
        <v>0.83549223715508181</v>
      </c>
      <c r="H184" s="114">
        <v>10160.089980124956</v>
      </c>
      <c r="I184" s="114">
        <v>0.83549223715508181</v>
      </c>
      <c r="J184" s="114">
        <v>75585.552769663758</v>
      </c>
      <c r="K184" s="114">
        <v>5.8272173512002867E-2</v>
      </c>
      <c r="L184" s="114">
        <v>2710.1037052240545</v>
      </c>
      <c r="M184" s="114"/>
      <c r="N184" s="163">
        <v>2.141353879989933</v>
      </c>
      <c r="O184" s="163">
        <v>1.9338361788436245</v>
      </c>
      <c r="P184" s="324">
        <v>2811.1722437764597</v>
      </c>
      <c r="Q184" s="114">
        <v>5.8665297626109085</v>
      </c>
      <c r="R184" s="114">
        <v>539901.96660883003</v>
      </c>
      <c r="S184" s="114">
        <v>2.0543998308285039</v>
      </c>
      <c r="T184" s="114">
        <v>2838.2633932218314</v>
      </c>
      <c r="U184" s="114">
        <v>18.751171473566021</v>
      </c>
      <c r="V184" s="114">
        <v>2823.5615414076792</v>
      </c>
      <c r="W184" s="114">
        <v>9.0765428167050644</v>
      </c>
      <c r="X184" s="114">
        <v>2355059.8451995561</v>
      </c>
      <c r="Y184" s="114">
        <v>2.1244625685544993</v>
      </c>
      <c r="Z184" s="114">
        <v>2438.032364162395</v>
      </c>
      <c r="AA184" s="114">
        <v>9.3324179016956279</v>
      </c>
      <c r="AB184" s="114">
        <v>501780.38474673673</v>
      </c>
      <c r="AC184" s="114">
        <v>2.2054307884562716</v>
      </c>
      <c r="AD184" s="114">
        <v>2277036.2600657307</v>
      </c>
      <c r="AE184" s="114">
        <v>2.1949179779692187</v>
      </c>
      <c r="AF184" s="382">
        <v>4.5109398073235374</v>
      </c>
      <c r="AG184" s="163">
        <v>4.0846076172127578E-2</v>
      </c>
      <c r="AH184" s="436">
        <v>4.5384104833248449</v>
      </c>
      <c r="AI184" s="434">
        <v>6.1630821437550762E-2</v>
      </c>
      <c r="AJ184" s="21">
        <v>0</v>
      </c>
      <c r="AL184" s="21">
        <v>0</v>
      </c>
    </row>
    <row r="185" spans="1:38" s="21" customFormat="1" x14ac:dyDescent="0.15">
      <c r="A185" s="113" t="s">
        <v>763</v>
      </c>
      <c r="B185" s="324">
        <v>21725.043149270376</v>
      </c>
      <c r="C185" s="114">
        <v>0.10153616332267093</v>
      </c>
      <c r="D185" s="114">
        <v>35642.401548042115</v>
      </c>
      <c r="E185" s="114">
        <v>5.7961560352844117E-2</v>
      </c>
      <c r="F185" s="114">
        <v>9599.2437696200977</v>
      </c>
      <c r="G185" s="114">
        <v>0.74314575521883275</v>
      </c>
      <c r="H185" s="114">
        <v>9599.2437696200977</v>
      </c>
      <c r="I185" s="114">
        <v>0.74314575521883275</v>
      </c>
      <c r="J185" s="114">
        <v>75354.231045160326</v>
      </c>
      <c r="K185" s="114">
        <v>4.2463623792928597E-2</v>
      </c>
      <c r="L185" s="114">
        <v>2690.0720155050485</v>
      </c>
      <c r="M185" s="114"/>
      <c r="N185" s="163">
        <v>2.114173786622962</v>
      </c>
      <c r="O185" s="163">
        <v>1.9109974129593255</v>
      </c>
      <c r="P185" s="324">
        <v>2968.8522323324619</v>
      </c>
      <c r="Q185" s="114">
        <v>7.21128432369221</v>
      </c>
      <c r="R185" s="114">
        <v>529241.48036074755</v>
      </c>
      <c r="S185" s="114">
        <v>6.7318983851125234</v>
      </c>
      <c r="T185" s="114">
        <v>2442.5186173991524</v>
      </c>
      <c r="U185" s="114">
        <v>21.042583427722683</v>
      </c>
      <c r="V185" s="114">
        <v>2728.1498648720722</v>
      </c>
      <c r="W185" s="114">
        <v>9.5084295925336075</v>
      </c>
      <c r="X185" s="114">
        <v>2309785.6706382092</v>
      </c>
      <c r="Y185" s="114">
        <v>7.0312981261999816</v>
      </c>
      <c r="Z185" s="114">
        <v>2943.9274770291449</v>
      </c>
      <c r="AA185" s="114">
        <v>10.010524329607041</v>
      </c>
      <c r="AB185" s="114">
        <v>490870.92894783342</v>
      </c>
      <c r="AC185" s="114">
        <v>7.2490540281103568</v>
      </c>
      <c r="AD185" s="114">
        <v>2231487.5121160205</v>
      </c>
      <c r="AE185" s="114">
        <v>7.2725283592925143</v>
      </c>
      <c r="AF185" s="382">
        <v>4.5108833608234828</v>
      </c>
      <c r="AG185" s="163">
        <v>6.1529840787821123E-2</v>
      </c>
      <c r="AH185" s="436">
        <v>4.5446821690039059</v>
      </c>
      <c r="AI185" s="434">
        <v>7.6924060844977118E-2</v>
      </c>
      <c r="AJ185" s="21">
        <v>0</v>
      </c>
      <c r="AL185" s="21">
        <v>0</v>
      </c>
    </row>
    <row r="186" spans="1:38" s="21" customFormat="1" x14ac:dyDescent="0.15">
      <c r="A186" s="113" t="s">
        <v>764</v>
      </c>
      <c r="B186" s="324">
        <v>21706.098570167909</v>
      </c>
      <c r="C186" s="114">
        <v>0.11598238249870398</v>
      </c>
      <c r="D186" s="114">
        <v>35354.9129537431</v>
      </c>
      <c r="E186" s="114">
        <v>6.5164438250962575E-2</v>
      </c>
      <c r="F186" s="114">
        <v>10228.026892666219</v>
      </c>
      <c r="G186" s="114">
        <v>0.60879877804588678</v>
      </c>
      <c r="H186" s="114">
        <v>10228.026892666219</v>
      </c>
      <c r="I186" s="114">
        <v>0.60879877804588678</v>
      </c>
      <c r="J186" s="114">
        <v>74928.343601006665</v>
      </c>
      <c r="K186" s="114">
        <v>5.7738762899497975E-2</v>
      </c>
      <c r="L186" s="114">
        <v>2559.8571350412567</v>
      </c>
      <c r="M186" s="114"/>
      <c r="N186" s="163">
        <v>2.1193191367502391</v>
      </c>
      <c r="O186" s="163">
        <v>1.9044819150143868</v>
      </c>
      <c r="P186" s="324">
        <v>2963.9852152432886</v>
      </c>
      <c r="Q186" s="114">
        <v>6.1537801102917182</v>
      </c>
      <c r="R186" s="114">
        <v>4848388.5344091142</v>
      </c>
      <c r="S186" s="114">
        <v>3.0825468124180668</v>
      </c>
      <c r="T186" s="114">
        <v>2282.3212958703316</v>
      </c>
      <c r="U186" s="114">
        <v>29.339260988569841</v>
      </c>
      <c r="V186" s="114">
        <v>2652.2473468075277</v>
      </c>
      <c r="W186" s="114">
        <v>11.940238187990559</v>
      </c>
      <c r="X186" s="114">
        <v>21942547.387942642</v>
      </c>
      <c r="Y186" s="114">
        <v>3.0973624536868885</v>
      </c>
      <c r="Z186" s="114">
        <v>3229.8882255184335</v>
      </c>
      <c r="AA186" s="114">
        <v>8.3705496053795301</v>
      </c>
      <c r="AB186" s="114">
        <v>4810381.374108565</v>
      </c>
      <c r="AC186" s="114">
        <v>3.107485479322631</v>
      </c>
      <c r="AD186" s="114">
        <v>21864389.156116121</v>
      </c>
      <c r="AE186" s="114">
        <v>3.1084993681285633</v>
      </c>
      <c r="AF186" s="382">
        <v>4.5430716888646989</v>
      </c>
      <c r="AG186" s="163">
        <v>1.1031487737628935E-2</v>
      </c>
      <c r="AH186" s="436">
        <v>4.5451931387848434</v>
      </c>
      <c r="AI186" s="434">
        <v>1.1256397810363779E-2</v>
      </c>
      <c r="AJ186" s="21">
        <v>0</v>
      </c>
      <c r="AL186" s="21">
        <v>0</v>
      </c>
    </row>
    <row r="187" spans="1:38" s="21" customFormat="1" x14ac:dyDescent="0.15">
      <c r="A187" s="113" t="s">
        <v>765</v>
      </c>
      <c r="B187" s="324">
        <v>21836.446853620393</v>
      </c>
      <c r="C187" s="114">
        <v>0.11890254778970079</v>
      </c>
      <c r="D187" s="114">
        <v>36016.302352629005</v>
      </c>
      <c r="E187" s="114">
        <v>6.4259669962123483E-2</v>
      </c>
      <c r="F187" s="114">
        <v>19904.940895964333</v>
      </c>
      <c r="G187" s="114">
        <v>0.12031000463119401</v>
      </c>
      <c r="H187" s="114">
        <v>19904.940895964333</v>
      </c>
      <c r="I187" s="114">
        <v>0.12031000463119401</v>
      </c>
      <c r="J187" s="114">
        <v>77149.299417106158</v>
      </c>
      <c r="K187" s="114">
        <v>6.5801020219146661E-2</v>
      </c>
      <c r="L187" s="114">
        <v>3432.3563782343122</v>
      </c>
      <c r="M187" s="114"/>
      <c r="N187" s="163">
        <v>2.1420660750165723</v>
      </c>
      <c r="O187" s="163">
        <v>1.959650131246905</v>
      </c>
      <c r="P187" s="324">
        <v>3665.3745480902894</v>
      </c>
      <c r="Q187" s="114">
        <v>4.9742967065569887</v>
      </c>
      <c r="R187" s="114">
        <v>1031856.0248536698</v>
      </c>
      <c r="S187" s="114">
        <v>2.1871845198911934</v>
      </c>
      <c r="T187" s="114">
        <v>3212.3311445671902</v>
      </c>
      <c r="U187" s="114">
        <v>5.1120905184339076</v>
      </c>
      <c r="V187" s="114">
        <v>3458.1891875198075</v>
      </c>
      <c r="W187" s="114">
        <v>3.5088063899481301</v>
      </c>
      <c r="X187" s="114">
        <v>4651014.7496359488</v>
      </c>
      <c r="Y187" s="114">
        <v>2.2407429159812127</v>
      </c>
      <c r="Z187" s="114">
        <v>2432.4679139060008</v>
      </c>
      <c r="AA187" s="114">
        <v>11.276627800616412</v>
      </c>
      <c r="AB187" s="114">
        <v>992381.53331352083</v>
      </c>
      <c r="AC187" s="114">
        <v>2.2732600269973156</v>
      </c>
      <c r="AD187" s="114">
        <v>4571432.9823049381</v>
      </c>
      <c r="AE187" s="114">
        <v>2.2797477328314844</v>
      </c>
      <c r="AF187" s="382">
        <v>4.5889534099513014</v>
      </c>
      <c r="AG187" s="163">
        <v>1.7188238402508771E-2</v>
      </c>
      <c r="AH187" s="436">
        <v>4.6061964592432307</v>
      </c>
      <c r="AI187" s="434">
        <v>2.2191560661475335E-2</v>
      </c>
      <c r="AJ187" s="21">
        <v>0</v>
      </c>
      <c r="AL187" s="21">
        <v>0</v>
      </c>
    </row>
    <row r="188" spans="1:38" s="21" customFormat="1" x14ac:dyDescent="0.15">
      <c r="A188" s="113" t="s">
        <v>766</v>
      </c>
      <c r="B188" s="324">
        <v>21610.858293437748</v>
      </c>
      <c r="C188" s="114">
        <v>9.7617780049660124E-2</v>
      </c>
      <c r="D188" s="114">
        <v>35682.006995746939</v>
      </c>
      <c r="E188" s="114">
        <v>5.4438780489814681E-2</v>
      </c>
      <c r="F188" s="114">
        <v>19885.46216532664</v>
      </c>
      <c r="G188" s="114">
        <v>0.11389932959372089</v>
      </c>
      <c r="H188" s="114">
        <v>19885.46216532664</v>
      </c>
      <c r="I188" s="114">
        <v>0.11389932959372089</v>
      </c>
      <c r="J188" s="114">
        <v>76155.685738179294</v>
      </c>
      <c r="K188" s="114">
        <v>4.8069173201707859E-2</v>
      </c>
      <c r="L188" s="114">
        <v>3690.1212396293472</v>
      </c>
      <c r="M188" s="114"/>
      <c r="N188" s="163">
        <v>2.1342881791166217</v>
      </c>
      <c r="O188" s="163">
        <v>1.9911651655987004</v>
      </c>
      <c r="P188" s="324">
        <v>4145.720958026367</v>
      </c>
      <c r="Q188" s="114">
        <v>4.7478494840282615</v>
      </c>
      <c r="R188" s="114">
        <v>994336.79826683691</v>
      </c>
      <c r="S188" s="114">
        <v>1.6326579335942994</v>
      </c>
      <c r="T188" s="114">
        <v>3228.5062815773595</v>
      </c>
      <c r="U188" s="114">
        <v>5.4334167187408093</v>
      </c>
      <c r="V188" s="114">
        <v>3726.2612506720025</v>
      </c>
      <c r="W188" s="114">
        <v>3.4825382108495773</v>
      </c>
      <c r="X188" s="114">
        <v>4476035.8147307858</v>
      </c>
      <c r="Y188" s="114">
        <v>1.6755230539177117</v>
      </c>
      <c r="Z188" s="114">
        <v>3332.1700401260823</v>
      </c>
      <c r="AA188" s="114">
        <v>7.2704039080129395</v>
      </c>
      <c r="AB188" s="114">
        <v>954928.53002041799</v>
      </c>
      <c r="AC188" s="114">
        <v>1.6964195603474732</v>
      </c>
      <c r="AD188" s="114">
        <v>4396547.95895248</v>
      </c>
      <c r="AE188" s="114">
        <v>1.7056651649064221</v>
      </c>
      <c r="AF188" s="382">
        <v>4.584366025144786</v>
      </c>
      <c r="AG188" s="163">
        <v>2.6630615147215236E-2</v>
      </c>
      <c r="AH188" s="436">
        <v>4.603602303207996</v>
      </c>
      <c r="AI188" s="434">
        <v>2.6832492006191453E-2</v>
      </c>
      <c r="AJ188" s="21">
        <v>0</v>
      </c>
      <c r="AL188" s="21">
        <v>0</v>
      </c>
    </row>
    <row r="189" spans="1:38" s="21" customFormat="1" x14ac:dyDescent="0.15">
      <c r="A189" s="113" t="s">
        <v>767</v>
      </c>
      <c r="B189" s="324">
        <v>21494.279551278145</v>
      </c>
      <c r="C189" s="114">
        <v>9.6186041455428264E-2</v>
      </c>
      <c r="D189" s="114">
        <v>35473.000183403412</v>
      </c>
      <c r="E189" s="114">
        <v>5.2941272581110518E-2</v>
      </c>
      <c r="F189" s="114">
        <v>19771.252281410772</v>
      </c>
      <c r="G189" s="114">
        <v>0.10493924183475707</v>
      </c>
      <c r="H189" s="114">
        <v>19771.252281410772</v>
      </c>
      <c r="I189" s="114">
        <v>0.10493924183475707</v>
      </c>
      <c r="J189" s="114">
        <v>75640.085959912118</v>
      </c>
      <c r="K189" s="114">
        <v>4.5472790092603389E-2</v>
      </c>
      <c r="L189" s="114">
        <v>3767.2418191373663</v>
      </c>
      <c r="M189" s="114"/>
      <c r="N189" s="163">
        <v>2.1323284066426806</v>
      </c>
      <c r="O189" s="163">
        <v>2.0034274522901065</v>
      </c>
      <c r="P189" s="324">
        <v>3869.1046174732737</v>
      </c>
      <c r="Q189" s="114">
        <v>5.2123188317305864</v>
      </c>
      <c r="R189" s="114">
        <v>974709.96249381697</v>
      </c>
      <c r="S189" s="114">
        <v>1.5348965534711048</v>
      </c>
      <c r="T189" s="114">
        <v>3421.6535795977225</v>
      </c>
      <c r="U189" s="114">
        <v>4.0960587516389442</v>
      </c>
      <c r="V189" s="114">
        <v>3664.4767520216242</v>
      </c>
      <c r="W189" s="114">
        <v>3.4568059131183921</v>
      </c>
      <c r="X189" s="114">
        <v>4384581.7153655589</v>
      </c>
      <c r="Y189" s="114">
        <v>1.5730749072369377</v>
      </c>
      <c r="Z189" s="114">
        <v>2698.0189510238038</v>
      </c>
      <c r="AA189" s="114">
        <v>9.3117712922483733</v>
      </c>
      <c r="AB189" s="114">
        <v>935572.4855583912</v>
      </c>
      <c r="AC189" s="114">
        <v>1.5973743796276794</v>
      </c>
      <c r="AD189" s="114">
        <v>4306243.6104546255</v>
      </c>
      <c r="AE189" s="114">
        <v>1.602346512453749</v>
      </c>
      <c r="AF189" s="382">
        <v>4.5856104860613272</v>
      </c>
      <c r="AG189" s="163">
        <v>2.1944586702894949E-2</v>
      </c>
      <c r="AH189" s="436">
        <v>4.6025760349671225</v>
      </c>
      <c r="AI189" s="434">
        <v>2.3102812030607923E-2</v>
      </c>
      <c r="AJ189" s="21">
        <v>0</v>
      </c>
      <c r="AL189" s="21">
        <v>0</v>
      </c>
    </row>
    <row r="190" spans="1:38" s="21" customFormat="1" x14ac:dyDescent="0.15">
      <c r="A190" s="113" t="s">
        <v>768</v>
      </c>
      <c r="B190" s="324">
        <v>21320.873526771098</v>
      </c>
      <c r="C190" s="114">
        <v>0.11409454611102694</v>
      </c>
      <c r="D190" s="114">
        <v>35071.458745979551</v>
      </c>
      <c r="E190" s="114">
        <v>5.2731025312729357E-2</v>
      </c>
      <c r="F190" s="114">
        <v>19512.033277282091</v>
      </c>
      <c r="G190" s="114">
        <v>0.10985520871971649</v>
      </c>
      <c r="H190" s="114">
        <v>19512.033277282091</v>
      </c>
      <c r="I190" s="114">
        <v>0.10985520871971649</v>
      </c>
      <c r="J190" s="114">
        <v>74139.449506626857</v>
      </c>
      <c r="K190" s="114">
        <v>5.2665410793004436E-2</v>
      </c>
      <c r="L190" s="114">
        <v>3667.5549134196685</v>
      </c>
      <c r="M190" s="114"/>
      <c r="N190" s="163">
        <v>2.113953971621608</v>
      </c>
      <c r="O190" s="163">
        <v>1.9586098288356684</v>
      </c>
      <c r="P190" s="324">
        <v>3859.594590806144</v>
      </c>
      <c r="Q190" s="114">
        <v>4.1206899481000514</v>
      </c>
      <c r="R190" s="114">
        <v>987476.30839031283</v>
      </c>
      <c r="S190" s="114">
        <v>1.7363704719012436</v>
      </c>
      <c r="T190" s="114">
        <v>3589.7438837475952</v>
      </c>
      <c r="U190" s="114">
        <v>4.5301162935163868</v>
      </c>
      <c r="V190" s="114">
        <v>3736.1867327348282</v>
      </c>
      <c r="W190" s="114">
        <v>3.224219584951602</v>
      </c>
      <c r="X190" s="114">
        <v>4444735.6493569398</v>
      </c>
      <c r="Y190" s="114">
        <v>1.7810618153187545</v>
      </c>
      <c r="Z190" s="114">
        <v>2506.6308718995278</v>
      </c>
      <c r="AA190" s="114">
        <v>7.1359813035820601</v>
      </c>
      <c r="AB190" s="114">
        <v>948668.6629115995</v>
      </c>
      <c r="AC190" s="114">
        <v>1.8079295255191981</v>
      </c>
      <c r="AD190" s="114">
        <v>4368089.5689784158</v>
      </c>
      <c r="AE190" s="114">
        <v>1.8121654367036351</v>
      </c>
      <c r="AF190" s="382">
        <v>4.5857704040445677</v>
      </c>
      <c r="AG190" s="163">
        <v>2.1322015550604329E-2</v>
      </c>
      <c r="AH190" s="436">
        <v>4.6042925092834519</v>
      </c>
      <c r="AI190" s="434">
        <v>2.2656310048276753E-2</v>
      </c>
      <c r="AJ190" s="21">
        <v>0</v>
      </c>
      <c r="AL190" s="21">
        <v>0</v>
      </c>
    </row>
    <row r="191" spans="1:38" s="21" customFormat="1" x14ac:dyDescent="0.15">
      <c r="A191" s="113" t="s">
        <v>769</v>
      </c>
      <c r="B191" s="324">
        <v>21530.161357516161</v>
      </c>
      <c r="C191" s="114">
        <v>0.10474377876620246</v>
      </c>
      <c r="D191" s="114">
        <v>35329.148984660183</v>
      </c>
      <c r="E191" s="114">
        <v>6.0814972395405134E-2</v>
      </c>
      <c r="F191" s="114">
        <v>19715.82329920309</v>
      </c>
      <c r="G191" s="114">
        <v>0.11585514398326181</v>
      </c>
      <c r="H191" s="114">
        <v>19715.82329920309</v>
      </c>
      <c r="I191" s="114">
        <v>0.11585514398326181</v>
      </c>
      <c r="J191" s="114">
        <v>74426.435256738463</v>
      </c>
      <c r="K191" s="114">
        <v>6.7770617016180382E-2</v>
      </c>
      <c r="L191" s="114">
        <v>3373.8407851673937</v>
      </c>
      <c r="M191" s="114"/>
      <c r="N191" s="163">
        <v>2.1066580258996392</v>
      </c>
      <c r="O191" s="163">
        <v>1.9717779547477989</v>
      </c>
      <c r="P191" s="324">
        <v>3716.0819683092545</v>
      </c>
      <c r="Q191" s="114">
        <v>4.4389506387977127</v>
      </c>
      <c r="R191" s="114">
        <v>966504.31196770992</v>
      </c>
      <c r="S191" s="114">
        <v>1.8243711280624255</v>
      </c>
      <c r="T191" s="114">
        <v>3324.3463818592618</v>
      </c>
      <c r="U191" s="114">
        <v>4.8593060548158968</v>
      </c>
      <c r="V191" s="114">
        <v>3536.9338379187147</v>
      </c>
      <c r="W191" s="114">
        <v>3.0356826936168941</v>
      </c>
      <c r="X191" s="114">
        <v>4351984.1714879265</v>
      </c>
      <c r="Y191" s="114">
        <v>1.8715120815974333</v>
      </c>
      <c r="Z191" s="114">
        <v>2915.810383295403</v>
      </c>
      <c r="AA191" s="114">
        <v>10.222401042584707</v>
      </c>
      <c r="AB191" s="114">
        <v>927638.22914513107</v>
      </c>
      <c r="AC191" s="114">
        <v>1.8968360111889013</v>
      </c>
      <c r="AD191" s="114">
        <v>4274641.9258478936</v>
      </c>
      <c r="AE191" s="114">
        <v>1.9048563216962147</v>
      </c>
      <c r="AF191" s="382">
        <v>4.588596116516511</v>
      </c>
      <c r="AG191" s="163">
        <v>2.0385643657334238E-2</v>
      </c>
      <c r="AH191" s="436">
        <v>4.6077281428354269</v>
      </c>
      <c r="AI191" s="434">
        <v>2.0951960069404228E-2</v>
      </c>
      <c r="AJ191" s="21">
        <v>0</v>
      </c>
      <c r="AL191" s="21">
        <v>0</v>
      </c>
    </row>
    <row r="192" spans="1:38" s="21" customFormat="1" x14ac:dyDescent="0.15">
      <c r="A192" s="113" t="s">
        <v>770</v>
      </c>
      <c r="B192" s="324">
        <v>21306.940750561138</v>
      </c>
      <c r="C192" s="114">
        <v>0.11757025112150407</v>
      </c>
      <c r="D192" s="114">
        <v>35230.806640998533</v>
      </c>
      <c r="E192" s="114">
        <v>5.6761004339744091E-2</v>
      </c>
      <c r="F192" s="114">
        <v>19681.350848083057</v>
      </c>
      <c r="G192" s="114">
        <v>0.10394590690490886</v>
      </c>
      <c r="H192" s="114">
        <v>19681.350848083057</v>
      </c>
      <c r="I192" s="114">
        <v>0.10394590690490886</v>
      </c>
      <c r="J192" s="114">
        <v>74729.658074327366</v>
      </c>
      <c r="K192" s="114">
        <v>4.8103529349609646E-2</v>
      </c>
      <c r="L192" s="114">
        <v>3355.1589231173157</v>
      </c>
      <c r="M192" s="114"/>
      <c r="N192" s="163">
        <v>2.1211452475619312</v>
      </c>
      <c r="O192" s="163">
        <v>1.9721203945732453</v>
      </c>
      <c r="P192" s="324">
        <v>3646.3905289872287</v>
      </c>
      <c r="Q192" s="114">
        <v>5.0594136205708296</v>
      </c>
      <c r="R192" s="114">
        <v>1020628.2934210125</v>
      </c>
      <c r="S192" s="114">
        <v>1.8103544559086917</v>
      </c>
      <c r="T192" s="114">
        <v>3167.8873911877486</v>
      </c>
      <c r="U192" s="114">
        <v>6.1332579937271063</v>
      </c>
      <c r="V192" s="114">
        <v>3427.5619479547336</v>
      </c>
      <c r="W192" s="114">
        <v>3.9675204265129773</v>
      </c>
      <c r="X192" s="114">
        <v>4599996.3706779256</v>
      </c>
      <c r="Y192" s="114">
        <v>1.8575341829944372</v>
      </c>
      <c r="Z192" s="114">
        <v>2789.7248995735031</v>
      </c>
      <c r="AA192" s="114">
        <v>8.1697329460426076</v>
      </c>
      <c r="AB192" s="114">
        <v>981969.92483205895</v>
      </c>
      <c r="AC192" s="114">
        <v>1.8803995081609033</v>
      </c>
      <c r="AD192" s="114">
        <v>4522476.9877040237</v>
      </c>
      <c r="AE192" s="114">
        <v>1.8893360854615682</v>
      </c>
      <c r="AF192" s="382">
        <v>4.586822288395684</v>
      </c>
      <c r="AG192" s="163">
        <v>1.9874741609311925E-2</v>
      </c>
      <c r="AH192" s="436">
        <v>4.605168002194465</v>
      </c>
      <c r="AI192" s="434">
        <v>2.34767050443732E-2</v>
      </c>
      <c r="AJ192" s="21">
        <v>0</v>
      </c>
      <c r="AL192" s="21">
        <v>0</v>
      </c>
    </row>
    <row r="193" spans="1:38" s="21" customFormat="1" x14ac:dyDescent="0.15">
      <c r="A193" s="113" t="s">
        <v>771</v>
      </c>
      <c r="B193" s="324">
        <v>21245.433312241577</v>
      </c>
      <c r="C193" s="114">
        <v>0.10054391758725903</v>
      </c>
      <c r="D193" s="114">
        <v>34992.959260191557</v>
      </c>
      <c r="E193" s="114">
        <v>5.7515326286028803E-2</v>
      </c>
      <c r="F193" s="114">
        <v>19509.933194425481</v>
      </c>
      <c r="G193" s="114">
        <v>0.10426886687594032</v>
      </c>
      <c r="H193" s="114">
        <v>19509.933194425481</v>
      </c>
      <c r="I193" s="114">
        <v>0.10426886687594032</v>
      </c>
      <c r="J193" s="114">
        <v>74697.420680729498</v>
      </c>
      <c r="K193" s="114">
        <v>5.5091301520613929E-2</v>
      </c>
      <c r="L193" s="114">
        <v>3543.832780526735</v>
      </c>
      <c r="M193" s="114"/>
      <c r="N193" s="163">
        <v>2.1346414324468479</v>
      </c>
      <c r="O193" s="163">
        <v>2.0081220337152881</v>
      </c>
      <c r="P193" s="324">
        <v>3900.0101226308802</v>
      </c>
      <c r="Q193" s="114">
        <v>4.6922369159089286</v>
      </c>
      <c r="R193" s="114">
        <v>1022039.531505632</v>
      </c>
      <c r="S193" s="114">
        <v>2.2526713930678812</v>
      </c>
      <c r="T193" s="114">
        <v>3334.9574172407747</v>
      </c>
      <c r="U193" s="114">
        <v>4.9075887729964602</v>
      </c>
      <c r="V193" s="114">
        <v>3641.6007790731255</v>
      </c>
      <c r="W193" s="114">
        <v>2.7990511729898842</v>
      </c>
      <c r="X193" s="114">
        <v>4604802.9051095657</v>
      </c>
      <c r="Y193" s="114">
        <v>2.3121747365815986</v>
      </c>
      <c r="Z193" s="114">
        <v>3286.3011509072749</v>
      </c>
      <c r="AA193" s="114">
        <v>6.6735346738668646</v>
      </c>
      <c r="AB193" s="114">
        <v>983404.97146636725</v>
      </c>
      <c r="AC193" s="114">
        <v>2.3378016308123644</v>
      </c>
      <c r="AD193" s="114">
        <v>4526819.1832779301</v>
      </c>
      <c r="AE193" s="114">
        <v>2.3520256761123868</v>
      </c>
      <c r="AF193" s="382">
        <v>4.5836589928082034</v>
      </c>
      <c r="AG193" s="163">
        <v>2.9505203243477066E-2</v>
      </c>
      <c r="AH193" s="436">
        <v>4.6024203710088312</v>
      </c>
      <c r="AI193" s="434">
        <v>2.3698379556226737E-2</v>
      </c>
      <c r="AJ193" s="21">
        <v>0</v>
      </c>
      <c r="AL193" s="21">
        <v>0</v>
      </c>
    </row>
    <row r="194" spans="1:38" s="21" customFormat="1" x14ac:dyDescent="0.15">
      <c r="A194" s="113" t="s">
        <v>772</v>
      </c>
      <c r="B194" s="324">
        <v>21277.282826788127</v>
      </c>
      <c r="C194" s="114">
        <v>0.11480635304656334</v>
      </c>
      <c r="D194" s="114">
        <v>34957.144379769939</v>
      </c>
      <c r="E194" s="114">
        <v>5.7426936286431314E-2</v>
      </c>
      <c r="F194" s="114">
        <v>19387.425352650105</v>
      </c>
      <c r="G194" s="114">
        <v>0.10032177707036193</v>
      </c>
      <c r="H194" s="114">
        <v>19387.425352650105</v>
      </c>
      <c r="I194" s="114">
        <v>0.10032177707036193</v>
      </c>
      <c r="J194" s="114">
        <v>74959.378220190934</v>
      </c>
      <c r="K194" s="114">
        <v>5.0558619254362565E-2</v>
      </c>
      <c r="L194" s="114">
        <v>3769.4692175785158</v>
      </c>
      <c r="M194" s="114"/>
      <c r="N194" s="163">
        <v>2.1443221278558067</v>
      </c>
      <c r="O194" s="163">
        <v>2.0140940429557168</v>
      </c>
      <c r="P194" s="324">
        <v>3987.3405840655946</v>
      </c>
      <c r="Q194" s="114">
        <v>4.7902816585518888</v>
      </c>
      <c r="R194" s="114">
        <v>996433.71721220762</v>
      </c>
      <c r="S194" s="114">
        <v>2.2273020480786134</v>
      </c>
      <c r="T194" s="114">
        <v>3564.2078790487576</v>
      </c>
      <c r="U194" s="114">
        <v>5.3427313862580936</v>
      </c>
      <c r="V194" s="114">
        <v>3793.8339545101617</v>
      </c>
      <c r="W194" s="114">
        <v>3.7302151357487379</v>
      </c>
      <c r="X194" s="114">
        <v>4484220.9683470391</v>
      </c>
      <c r="Y194" s="114">
        <v>2.2824207478696423</v>
      </c>
      <c r="Z194" s="114">
        <v>3278.80766784558</v>
      </c>
      <c r="AA194" s="114">
        <v>7.1157009363981754</v>
      </c>
      <c r="AB194" s="114">
        <v>957682.7388779273</v>
      </c>
      <c r="AC194" s="114">
        <v>2.313808375816921</v>
      </c>
      <c r="AD194" s="114">
        <v>4405982.7824590029</v>
      </c>
      <c r="AE194" s="114">
        <v>2.3227991592773525</v>
      </c>
      <c r="AF194" s="382">
        <v>4.5819682924495471</v>
      </c>
      <c r="AG194" s="163">
        <v>2.1072793881288812E-2</v>
      </c>
      <c r="AH194" s="436">
        <v>4.60019924337477</v>
      </c>
      <c r="AI194" s="434">
        <v>2.371398045535596E-2</v>
      </c>
      <c r="AJ194" s="21">
        <v>0</v>
      </c>
      <c r="AL194" s="21">
        <v>0</v>
      </c>
    </row>
    <row r="195" spans="1:38" s="21" customFormat="1" x14ac:dyDescent="0.15">
      <c r="A195" s="113" t="s">
        <v>773</v>
      </c>
      <c r="B195" s="324">
        <v>20955.556355517518</v>
      </c>
      <c r="C195" s="114">
        <v>0.10697149193384696</v>
      </c>
      <c r="D195" s="114">
        <v>34962.713005808961</v>
      </c>
      <c r="E195" s="114">
        <v>5.3428421124392125E-2</v>
      </c>
      <c r="F195" s="114">
        <v>19537.457734644013</v>
      </c>
      <c r="G195" s="114">
        <v>9.1933699713339631E-2</v>
      </c>
      <c r="H195" s="114">
        <v>19537.457734644013</v>
      </c>
      <c r="I195" s="114">
        <v>9.1933699713339631E-2</v>
      </c>
      <c r="J195" s="114">
        <v>74753.491700193641</v>
      </c>
      <c r="K195" s="114">
        <v>3.7716298572895914E-2</v>
      </c>
      <c r="L195" s="114">
        <v>3696.1324279073292</v>
      </c>
      <c r="M195" s="114"/>
      <c r="N195" s="163">
        <v>2.1380918491014569</v>
      </c>
      <c r="O195" s="163">
        <v>2.0332200358146792</v>
      </c>
      <c r="P195" s="324">
        <v>3828.4186607728079</v>
      </c>
      <c r="Q195" s="114">
        <v>4.7737305238757575</v>
      </c>
      <c r="R195" s="114">
        <v>1014008.9629766403</v>
      </c>
      <c r="S195" s="114">
        <v>1.9997978650219461</v>
      </c>
      <c r="T195" s="114">
        <v>3351.985160800999</v>
      </c>
      <c r="U195" s="114">
        <v>4.5858305358778111</v>
      </c>
      <c r="V195" s="114">
        <v>3610.5365644617359</v>
      </c>
      <c r="W195" s="114">
        <v>3.5427643537428142</v>
      </c>
      <c r="X195" s="114">
        <v>4564211.5970735615</v>
      </c>
      <c r="Y195" s="114">
        <v>2.0464553861215613</v>
      </c>
      <c r="Z195" s="114">
        <v>3670.7117301238545</v>
      </c>
      <c r="AA195" s="114">
        <v>6.2142639272543967</v>
      </c>
      <c r="AB195" s="114">
        <v>975435.71340636979</v>
      </c>
      <c r="AC195" s="114">
        <v>2.0783153583652982</v>
      </c>
      <c r="AD195" s="114">
        <v>4485787.3936432432</v>
      </c>
      <c r="AE195" s="114">
        <v>2.0810978136232396</v>
      </c>
      <c r="AF195" s="382">
        <v>4.5811093315632725</v>
      </c>
      <c r="AG195" s="163">
        <v>2.1735602183065028E-2</v>
      </c>
      <c r="AH195" s="436">
        <v>4.5986117899853927</v>
      </c>
      <c r="AI195" s="434">
        <v>2.2319926948480083E-2</v>
      </c>
      <c r="AJ195" s="21">
        <v>0</v>
      </c>
      <c r="AL195" s="21">
        <v>0</v>
      </c>
    </row>
    <row r="196" spans="1:38" s="21" customFormat="1" x14ac:dyDescent="0.15">
      <c r="A196" s="113" t="s">
        <v>774</v>
      </c>
      <c r="B196" s="324">
        <v>21086.7508224876</v>
      </c>
      <c r="C196" s="114">
        <v>0.10366746615589405</v>
      </c>
      <c r="D196" s="114">
        <v>34861.409266011899</v>
      </c>
      <c r="E196" s="114">
        <v>5.8175630322422865E-2</v>
      </c>
      <c r="F196" s="114">
        <v>19427.631841015089</v>
      </c>
      <c r="G196" s="114">
        <v>8.8233888659376092E-2</v>
      </c>
      <c r="H196" s="114">
        <v>19427.631841015089</v>
      </c>
      <c r="I196" s="114">
        <v>8.8233888659376092E-2</v>
      </c>
      <c r="J196" s="114">
        <v>74701.192936137581</v>
      </c>
      <c r="K196" s="114">
        <v>4.9065878904155168E-2</v>
      </c>
      <c r="L196" s="114">
        <v>3949.7108351325815</v>
      </c>
      <c r="M196" s="114"/>
      <c r="N196" s="163">
        <v>2.1428047376434507</v>
      </c>
      <c r="O196" s="163">
        <v>2.0199099471286632</v>
      </c>
      <c r="P196" s="324">
        <v>4173.8072814821817</v>
      </c>
      <c r="Q196" s="114">
        <v>4.221435456316347</v>
      </c>
      <c r="R196" s="114">
        <v>996559.22301406984</v>
      </c>
      <c r="S196" s="114">
        <v>2.147107064109667</v>
      </c>
      <c r="T196" s="114">
        <v>3666.2963106828611</v>
      </c>
      <c r="U196" s="114">
        <v>4.7927213047696977</v>
      </c>
      <c r="V196" s="114">
        <v>3941.7128669937697</v>
      </c>
      <c r="W196" s="114">
        <v>3.0874346781780519</v>
      </c>
      <c r="X196" s="114">
        <v>4485255.09336132</v>
      </c>
      <c r="Y196" s="114">
        <v>2.2031053489941503</v>
      </c>
      <c r="Z196" s="114">
        <v>2483.6143257277149</v>
      </c>
      <c r="AA196" s="114">
        <v>10.130691031114432</v>
      </c>
      <c r="AB196" s="114">
        <v>957756.10088106431</v>
      </c>
      <c r="AC196" s="114">
        <v>2.2338973564987006</v>
      </c>
      <c r="AD196" s="114">
        <v>4408070.2860994525</v>
      </c>
      <c r="AE196" s="114">
        <v>2.2391218318338613</v>
      </c>
      <c r="AF196" s="382">
        <v>4.5825183299590719</v>
      </c>
      <c r="AG196" s="163">
        <v>2.2559749191995954E-2</v>
      </c>
      <c r="AH196" s="436">
        <v>4.6022557854764585</v>
      </c>
      <c r="AI196" s="434">
        <v>2.4604066417068162E-2</v>
      </c>
      <c r="AJ196" s="21">
        <v>0</v>
      </c>
      <c r="AL196" s="21">
        <v>0</v>
      </c>
    </row>
    <row r="197" spans="1:38" s="21" customFormat="1" x14ac:dyDescent="0.15">
      <c r="A197" s="113" t="s">
        <v>775</v>
      </c>
      <c r="B197" s="324">
        <v>21123.663417497977</v>
      </c>
      <c r="C197" s="114">
        <v>9.3874515263209363E-2</v>
      </c>
      <c r="D197" s="114">
        <v>35044.271927827052</v>
      </c>
      <c r="E197" s="114">
        <v>6.2963515682129351E-2</v>
      </c>
      <c r="F197" s="114">
        <v>19401.552886707734</v>
      </c>
      <c r="G197" s="114">
        <v>9.3692781954150386E-2</v>
      </c>
      <c r="H197" s="114">
        <v>19401.552886707734</v>
      </c>
      <c r="I197" s="114">
        <v>9.3692781954150386E-2</v>
      </c>
      <c r="J197" s="114">
        <v>74322.870923606824</v>
      </c>
      <c r="K197" s="114">
        <v>3.6621868521391938E-2</v>
      </c>
      <c r="L197" s="114">
        <v>3419.5438043506665</v>
      </c>
      <c r="M197" s="114"/>
      <c r="N197" s="163">
        <v>2.1208279366360707</v>
      </c>
      <c r="O197" s="163">
        <v>1.9921631600625729</v>
      </c>
      <c r="P197" s="324">
        <v>3699.0898919166875</v>
      </c>
      <c r="Q197" s="114">
        <v>4.8755247813453524</v>
      </c>
      <c r="R197" s="114">
        <v>906917.97561491851</v>
      </c>
      <c r="S197" s="114">
        <v>2.3649007139230336</v>
      </c>
      <c r="T197" s="114">
        <v>3121.6670683694729</v>
      </c>
      <c r="U197" s="114">
        <v>4.2271923626611789</v>
      </c>
      <c r="V197" s="114">
        <v>3435.023458175634</v>
      </c>
      <c r="W197" s="114">
        <v>3.5529392327663412</v>
      </c>
      <c r="X197" s="114">
        <v>4074043.7784434361</v>
      </c>
      <c r="Y197" s="114">
        <v>2.4267821605367641</v>
      </c>
      <c r="Z197" s="114">
        <v>3107.8020955123698</v>
      </c>
      <c r="AA197" s="114">
        <v>7.8221479213753673</v>
      </c>
      <c r="AB197" s="114">
        <v>868438.68022891553</v>
      </c>
      <c r="AC197" s="114">
        <v>2.4678035298810017</v>
      </c>
      <c r="AD197" s="114">
        <v>3996613.1054243189</v>
      </c>
      <c r="AE197" s="114">
        <v>2.4734952638033274</v>
      </c>
      <c r="AF197" s="382">
        <v>4.5836596827855951</v>
      </c>
      <c r="AG197" s="163">
        <v>2.0757966212949168E-2</v>
      </c>
      <c r="AH197" s="436">
        <v>4.6018061017663587</v>
      </c>
      <c r="AI197" s="434">
        <v>2.1140853725192831E-2</v>
      </c>
      <c r="AJ197" s="21">
        <v>0</v>
      </c>
      <c r="AL197" s="21">
        <v>0</v>
      </c>
    </row>
    <row r="198" spans="1:38" s="21" customFormat="1" x14ac:dyDescent="0.15">
      <c r="A198" s="113" t="s">
        <v>776</v>
      </c>
      <c r="B198" s="324">
        <v>20932.160450673444</v>
      </c>
      <c r="C198" s="114">
        <v>0.11994176491291045</v>
      </c>
      <c r="D198" s="114">
        <v>34874.47401165215</v>
      </c>
      <c r="E198" s="114">
        <v>5.5069779827631025E-2</v>
      </c>
      <c r="F198" s="114">
        <v>19505.818654561448</v>
      </c>
      <c r="G198" s="114">
        <v>9.9120827115606144E-2</v>
      </c>
      <c r="H198" s="114">
        <v>19505.818654561448</v>
      </c>
      <c r="I198" s="114">
        <v>9.9120827115606144E-2</v>
      </c>
      <c r="J198" s="114">
        <v>74330.343462246892</v>
      </c>
      <c r="K198" s="114">
        <v>5.5822454587819315E-2</v>
      </c>
      <c r="L198" s="114">
        <v>3830.6267289018401</v>
      </c>
      <c r="M198" s="114"/>
      <c r="N198" s="163">
        <v>2.1313681587688427</v>
      </c>
      <c r="O198" s="163">
        <v>1.9989458005459</v>
      </c>
      <c r="P198" s="324">
        <v>4166.3354810417313</v>
      </c>
      <c r="Q198" s="114">
        <v>3.6368989091377273</v>
      </c>
      <c r="R198" s="114">
        <v>1067823.5936728409</v>
      </c>
      <c r="S198" s="114">
        <v>2.0031058880726307</v>
      </c>
      <c r="T198" s="114">
        <v>3312.160934282479</v>
      </c>
      <c r="U198" s="114">
        <v>5.0055538471720311</v>
      </c>
      <c r="V198" s="114">
        <v>3775.7052233573395</v>
      </c>
      <c r="W198" s="114">
        <v>2.7749187946837077</v>
      </c>
      <c r="X198" s="114">
        <v>4815208.786120181</v>
      </c>
      <c r="Y198" s="114">
        <v>2.0492852995504673</v>
      </c>
      <c r="Z198" s="114">
        <v>3723.09871145229</v>
      </c>
      <c r="AA198" s="114">
        <v>5.981677174975685</v>
      </c>
      <c r="AB198" s="114">
        <v>1029173.4144378311</v>
      </c>
      <c r="AC198" s="114">
        <v>2.0772755610800355</v>
      </c>
      <c r="AD198" s="114">
        <v>4737155.3439464811</v>
      </c>
      <c r="AE198" s="114">
        <v>2.0826983151576854</v>
      </c>
      <c r="AF198" s="382">
        <v>4.5862766781521582</v>
      </c>
      <c r="AG198" s="163">
        <v>2.1530147744938645E-2</v>
      </c>
      <c r="AH198" s="436">
        <v>4.6026832720282354</v>
      </c>
      <c r="AI198" s="434">
        <v>2.5064345984084781E-2</v>
      </c>
      <c r="AJ198" s="21">
        <v>0</v>
      </c>
      <c r="AL198" s="21">
        <v>0</v>
      </c>
    </row>
    <row r="199" spans="1:38" s="21" customFormat="1" x14ac:dyDescent="0.15">
      <c r="A199" s="113" t="s">
        <v>777</v>
      </c>
      <c r="B199" s="324">
        <v>21130.152117336584</v>
      </c>
      <c r="C199" s="114">
        <v>9.6390896684816527E-2</v>
      </c>
      <c r="D199" s="114">
        <v>34733.991798793366</v>
      </c>
      <c r="E199" s="114">
        <v>5.2132479193959212E-2</v>
      </c>
      <c r="F199" s="114">
        <v>19577.271540766706</v>
      </c>
      <c r="G199" s="114">
        <v>0.11271625339377966</v>
      </c>
      <c r="H199" s="114">
        <v>19577.271540766706</v>
      </c>
      <c r="I199" s="114">
        <v>0.11271625339377966</v>
      </c>
      <c r="J199" s="114">
        <v>73504.063462324848</v>
      </c>
      <c r="K199" s="114">
        <v>4.1089244713551895E-2</v>
      </c>
      <c r="L199" s="114">
        <v>3540.5680710005968</v>
      </c>
      <c r="M199" s="114"/>
      <c r="N199" s="163">
        <v>2.1161997126077035</v>
      </c>
      <c r="O199" s="163">
        <v>1.9949387066322701</v>
      </c>
      <c r="P199" s="324">
        <v>3940.3971921306838</v>
      </c>
      <c r="Q199" s="114">
        <v>3.8154366632507375</v>
      </c>
      <c r="R199" s="114">
        <v>880217.51579541864</v>
      </c>
      <c r="S199" s="114">
        <v>2.0539267580809328</v>
      </c>
      <c r="T199" s="114">
        <v>3020.8154415625004</v>
      </c>
      <c r="U199" s="114">
        <v>5.4443001967256821</v>
      </c>
      <c r="V199" s="114">
        <v>3519.8549767846685</v>
      </c>
      <c r="W199" s="114">
        <v>3.1132015027311191</v>
      </c>
      <c r="X199" s="114">
        <v>3952032.8089239891</v>
      </c>
      <c r="Y199" s="114">
        <v>2.108206434891295</v>
      </c>
      <c r="Z199" s="114">
        <v>3866.2037612402537</v>
      </c>
      <c r="AA199" s="114">
        <v>7.6985482971166581</v>
      </c>
      <c r="AB199" s="114">
        <v>841963.66901984089</v>
      </c>
      <c r="AC199" s="114">
        <v>2.1473057456778912</v>
      </c>
      <c r="AD199" s="114">
        <v>3874662.5417004228</v>
      </c>
      <c r="AE199" s="114">
        <v>2.1510989992287586</v>
      </c>
      <c r="AF199" s="382">
        <v>4.5823305485646362</v>
      </c>
      <c r="AG199" s="163">
        <v>2.2930676672724571E-2</v>
      </c>
      <c r="AH199" s="436">
        <v>4.6018159127681448</v>
      </c>
      <c r="AI199" s="434">
        <v>2.4436211933830516E-2</v>
      </c>
      <c r="AJ199" s="21">
        <v>0</v>
      </c>
      <c r="AL199" s="21">
        <v>0</v>
      </c>
    </row>
    <row r="200" spans="1:38" s="21" customFormat="1" x14ac:dyDescent="0.15">
      <c r="A200" s="113" t="s">
        <v>778</v>
      </c>
      <c r="B200" s="324">
        <v>21030.602548578427</v>
      </c>
      <c r="C200" s="114">
        <v>9.2880036346065495E-2</v>
      </c>
      <c r="D200" s="114">
        <v>34684.378339544593</v>
      </c>
      <c r="E200" s="114">
        <v>5.9342994315530279E-2</v>
      </c>
      <c r="F200" s="114">
        <v>19483.735743423618</v>
      </c>
      <c r="G200" s="114">
        <v>0.12132798290211375</v>
      </c>
      <c r="H200" s="114">
        <v>19483.735743423618</v>
      </c>
      <c r="I200" s="114">
        <v>0.12132798290211375</v>
      </c>
      <c r="J200" s="114">
        <v>74017.015630862457</v>
      </c>
      <c r="K200" s="114">
        <v>4.5013279542637487E-2</v>
      </c>
      <c r="L200" s="114">
        <v>3368.1008110877146</v>
      </c>
      <c r="M200" s="114"/>
      <c r="N200" s="163">
        <v>2.1340159222768502</v>
      </c>
      <c r="O200" s="163">
        <v>1.9924974295601936</v>
      </c>
      <c r="P200" s="324">
        <v>3678.8484400271341</v>
      </c>
      <c r="Q200" s="114">
        <v>5.259852706669804</v>
      </c>
      <c r="R200" s="114">
        <v>973517.98739952629</v>
      </c>
      <c r="S200" s="114">
        <v>1.6063404466188858</v>
      </c>
      <c r="T200" s="114">
        <v>3090.6704099988233</v>
      </c>
      <c r="U200" s="114">
        <v>4.8933456938431563</v>
      </c>
      <c r="V200" s="114">
        <v>3409.8634459109198</v>
      </c>
      <c r="W200" s="114">
        <v>3.7664559289248194</v>
      </c>
      <c r="X200" s="114">
        <v>4380528.3147352124</v>
      </c>
      <c r="Y200" s="114">
        <v>1.6431896204689957</v>
      </c>
      <c r="Z200" s="114">
        <v>3942.4320654368453</v>
      </c>
      <c r="AA200" s="114">
        <v>5.7662228024789988</v>
      </c>
      <c r="AB200" s="114">
        <v>935423.74561407068</v>
      </c>
      <c r="AC200" s="114">
        <v>1.6720980335526243</v>
      </c>
      <c r="AD200" s="114">
        <v>4302568.8670389121</v>
      </c>
      <c r="AE200" s="114">
        <v>1.6720093443387425</v>
      </c>
      <c r="AF200" s="382">
        <v>4.5832367538412599</v>
      </c>
      <c r="AG200" s="163">
        <v>1.8584184364122149E-2</v>
      </c>
      <c r="AH200" s="436">
        <v>4.5996198460479025</v>
      </c>
      <c r="AI200" s="434">
        <v>2.5773462520785315E-2</v>
      </c>
      <c r="AJ200" s="21">
        <v>0</v>
      </c>
      <c r="AL200" s="21">
        <v>0</v>
      </c>
    </row>
    <row r="201" spans="1:38" s="21" customFormat="1" x14ac:dyDescent="0.15">
      <c r="A201" s="113" t="s">
        <v>779</v>
      </c>
      <c r="B201" s="324">
        <v>21027.946817757111</v>
      </c>
      <c r="C201" s="114">
        <v>0.10247186547501819</v>
      </c>
      <c r="D201" s="114">
        <v>34832.429455928315</v>
      </c>
      <c r="E201" s="114">
        <v>5.3892816709701391E-2</v>
      </c>
      <c r="F201" s="114">
        <v>19708.012685876551</v>
      </c>
      <c r="G201" s="114">
        <v>9.6634226493093139E-2</v>
      </c>
      <c r="H201" s="114">
        <v>19708.012685876551</v>
      </c>
      <c r="I201" s="114">
        <v>9.6634226493093139E-2</v>
      </c>
      <c r="J201" s="114">
        <v>74422.027120803497</v>
      </c>
      <c r="K201" s="114">
        <v>3.7438320485839262E-2</v>
      </c>
      <c r="L201" s="114">
        <v>3491.76245499278</v>
      </c>
      <c r="M201" s="114"/>
      <c r="N201" s="163">
        <v>2.1365729661482806</v>
      </c>
      <c r="O201" s="163">
        <v>1.9808802334359126</v>
      </c>
      <c r="P201" s="324">
        <v>3977.742304919554</v>
      </c>
      <c r="Q201" s="114">
        <v>4.49931619392071</v>
      </c>
      <c r="R201" s="114">
        <v>988544.42717433465</v>
      </c>
      <c r="S201" s="114">
        <v>1.9982082111531938</v>
      </c>
      <c r="T201" s="114">
        <v>2991.8477196868321</v>
      </c>
      <c r="U201" s="114">
        <v>4.8704270232149138</v>
      </c>
      <c r="V201" s="114">
        <v>3526.8739697060364</v>
      </c>
      <c r="W201" s="114">
        <v>3.4005682318964747</v>
      </c>
      <c r="X201" s="114">
        <v>4448220.0599152697</v>
      </c>
      <c r="Y201" s="114">
        <v>2.0520861095415399</v>
      </c>
      <c r="Z201" s="114">
        <v>3269.2945257985498</v>
      </c>
      <c r="AA201" s="114">
        <v>6.4157766725469605</v>
      </c>
      <c r="AB201" s="114">
        <v>950185.12374870037</v>
      </c>
      <c r="AC201" s="114">
        <v>2.0788350909219453</v>
      </c>
      <c r="AD201" s="114">
        <v>4370528.7382686706</v>
      </c>
      <c r="AE201" s="114">
        <v>2.0886990135149226</v>
      </c>
      <c r="AF201" s="382">
        <v>4.580626300963206</v>
      </c>
      <c r="AG201" s="163">
        <v>2.910746688600083E-2</v>
      </c>
      <c r="AH201" s="436">
        <v>4.5993157579985633</v>
      </c>
      <c r="AI201" s="434">
        <v>3.1802977768952023E-2</v>
      </c>
      <c r="AJ201" s="21">
        <v>0</v>
      </c>
      <c r="AL201" s="21">
        <v>0</v>
      </c>
    </row>
    <row r="202" spans="1:38" s="21" customFormat="1" x14ac:dyDescent="0.15">
      <c r="A202" s="113" t="s">
        <v>780</v>
      </c>
      <c r="B202" s="324">
        <v>20820.243598892157</v>
      </c>
      <c r="C202" s="114">
        <v>0.1009687158429023</v>
      </c>
      <c r="D202" s="114">
        <v>34628.171876699998</v>
      </c>
      <c r="E202" s="114">
        <v>6.2180427230384021E-2</v>
      </c>
      <c r="F202" s="114">
        <v>19370.758307778855</v>
      </c>
      <c r="G202" s="114">
        <v>0.11132816352370811</v>
      </c>
      <c r="H202" s="114">
        <v>19370.758307778855</v>
      </c>
      <c r="I202" s="114">
        <v>0.11132816352370811</v>
      </c>
      <c r="J202" s="114">
        <v>74100.423720874373</v>
      </c>
      <c r="K202" s="114">
        <v>5.142266408068865E-2</v>
      </c>
      <c r="L202" s="114">
        <v>4508.3300102126041</v>
      </c>
      <c r="M202" s="114"/>
      <c r="N202" s="163">
        <v>2.1398884118030432</v>
      </c>
      <c r="O202" s="163">
        <v>2.0781500976183565</v>
      </c>
      <c r="P202" s="324">
        <v>5080.93287476569</v>
      </c>
      <c r="Q202" s="114">
        <v>3.9728041799997444</v>
      </c>
      <c r="R202" s="114">
        <v>919449.10924592055</v>
      </c>
      <c r="S202" s="114">
        <v>2.7299623498006027</v>
      </c>
      <c r="T202" s="114">
        <v>3934.0796029404651</v>
      </c>
      <c r="U202" s="114">
        <v>4.1778827810719745</v>
      </c>
      <c r="V202" s="114">
        <v>4556.4550724254359</v>
      </c>
      <c r="W202" s="114">
        <v>3.1572410140483198</v>
      </c>
      <c r="X202" s="114">
        <v>4133276.3141919766</v>
      </c>
      <c r="Y202" s="114">
        <v>2.8092541259468975</v>
      </c>
      <c r="Z202" s="114">
        <v>3318.1630089615683</v>
      </c>
      <c r="AA202" s="114">
        <v>7.8910223694893773</v>
      </c>
      <c r="AB202" s="114">
        <v>880264.48229679489</v>
      </c>
      <c r="AC202" s="114">
        <v>2.8491672285271838</v>
      </c>
      <c r="AD202" s="114">
        <v>4055857.7274621404</v>
      </c>
      <c r="AE202" s="114">
        <v>2.8622126366444265</v>
      </c>
      <c r="AF202" s="382">
        <v>4.5820059817514087</v>
      </c>
      <c r="AG202" s="163">
        <v>2.9178873917544489E-2</v>
      </c>
      <c r="AH202" s="436">
        <v>4.6065113895887588</v>
      </c>
      <c r="AI202" s="434">
        <v>2.865870456873898E-2</v>
      </c>
      <c r="AJ202" s="21">
        <v>0</v>
      </c>
      <c r="AL202" s="21">
        <v>0</v>
      </c>
    </row>
    <row r="203" spans="1:38" s="21" customFormat="1" x14ac:dyDescent="0.15">
      <c r="A203" s="113" t="s">
        <v>781</v>
      </c>
      <c r="B203" s="324">
        <v>21075.174165040371</v>
      </c>
      <c r="C203" s="114">
        <v>8.7652014935983555E-2</v>
      </c>
      <c r="D203" s="114">
        <v>34426.858593191449</v>
      </c>
      <c r="E203" s="114">
        <v>6.1368682281332756E-2</v>
      </c>
      <c r="F203" s="114">
        <v>19318.786173104374</v>
      </c>
      <c r="G203" s="114">
        <v>0.10340828822699295</v>
      </c>
      <c r="H203" s="114">
        <v>19318.786173104374</v>
      </c>
      <c r="I203" s="114">
        <v>0.10340828822699295</v>
      </c>
      <c r="J203" s="114">
        <v>73343.886962978271</v>
      </c>
      <c r="K203" s="114">
        <v>4.4299846617506355E-2</v>
      </c>
      <c r="L203" s="114">
        <v>4468.0774774801957</v>
      </c>
      <c r="M203" s="114"/>
      <c r="N203" s="163">
        <v>2.1304263577938936</v>
      </c>
      <c r="O203" s="163">
        <v>2.0557198364221558</v>
      </c>
      <c r="P203" s="324">
        <v>5080.8064914105589</v>
      </c>
      <c r="Q203" s="114">
        <v>3.8989397962846444</v>
      </c>
      <c r="R203" s="114">
        <v>908414.59690333728</v>
      </c>
      <c r="S203" s="114">
        <v>3.3894934001445325</v>
      </c>
      <c r="T203" s="114">
        <v>3841.4190854924345</v>
      </c>
      <c r="U203" s="114">
        <v>4.7508908838518646</v>
      </c>
      <c r="V203" s="114">
        <v>4514.0110705197958</v>
      </c>
      <c r="W203" s="114">
        <v>3.3510274303927696</v>
      </c>
      <c r="X203" s="114">
        <v>4089384.6303522913</v>
      </c>
      <c r="Y203" s="114">
        <v>3.4969778067984811</v>
      </c>
      <c r="Z203" s="114">
        <v>3836.2413589224261</v>
      </c>
      <c r="AA203" s="114">
        <v>5.9733115760433</v>
      </c>
      <c r="AB203" s="114">
        <v>869473.72723962599</v>
      </c>
      <c r="AC203" s="114">
        <v>3.5393744028616485</v>
      </c>
      <c r="AD203" s="114">
        <v>4012204.5020303898</v>
      </c>
      <c r="AE203" s="114">
        <v>3.5636311497228812</v>
      </c>
      <c r="AF203" s="382">
        <v>4.5869202351312435</v>
      </c>
      <c r="AG203" s="163">
        <v>3.3935498494813997E-2</v>
      </c>
      <c r="AH203" s="436">
        <v>4.6123258441534922</v>
      </c>
      <c r="AI203" s="434">
        <v>3.7610488033071938E-2</v>
      </c>
      <c r="AJ203" s="21">
        <v>0</v>
      </c>
      <c r="AL203" s="21">
        <v>0</v>
      </c>
    </row>
    <row r="204" spans="1:38" s="21" customFormat="1" x14ac:dyDescent="0.15">
      <c r="A204" s="113" t="s">
        <v>782</v>
      </c>
      <c r="B204" s="324">
        <v>20852.343230792223</v>
      </c>
      <c r="C204" s="114">
        <v>9.5715508804202543E-2</v>
      </c>
      <c r="D204" s="114">
        <v>34537.221717955348</v>
      </c>
      <c r="E204" s="114">
        <v>5.639551074756681E-2</v>
      </c>
      <c r="F204" s="114">
        <v>19506.718497165377</v>
      </c>
      <c r="G204" s="114">
        <v>0.12709098831980745</v>
      </c>
      <c r="H204" s="114">
        <v>19506.718497165377</v>
      </c>
      <c r="I204" s="114">
        <v>0.12709098831980745</v>
      </c>
      <c r="J204" s="114">
        <v>72840.430976841511</v>
      </c>
      <c r="K204" s="114">
        <v>5.0912830706498963E-2</v>
      </c>
      <c r="L204" s="114">
        <v>4393.1763573312401</v>
      </c>
      <c r="M204" s="114"/>
      <c r="N204" s="163">
        <v>2.1090414154237815</v>
      </c>
      <c r="O204" s="163">
        <v>2.0092976212839195</v>
      </c>
      <c r="P204" s="324">
        <v>5160.283180772868</v>
      </c>
      <c r="Q204" s="114">
        <v>3.4935717124888255</v>
      </c>
      <c r="R204" s="114">
        <v>847189.93322582263</v>
      </c>
      <c r="S204" s="114">
        <v>2.8801667844383676</v>
      </c>
      <c r="T204" s="114">
        <v>3551.5743633183242</v>
      </c>
      <c r="U204" s="114">
        <v>4.1240338068400888</v>
      </c>
      <c r="V204" s="114">
        <v>4424.5900577623324</v>
      </c>
      <c r="W204" s="114">
        <v>2.8007132962929591</v>
      </c>
      <c r="X204" s="114">
        <v>3803019.246065055</v>
      </c>
      <c r="Y204" s="114">
        <v>2.9642480788877457</v>
      </c>
      <c r="Z204" s="114">
        <v>3251.6427788786355</v>
      </c>
      <c r="AA204" s="114">
        <v>6.8182415262754947</v>
      </c>
      <c r="AB204" s="114">
        <v>808228.12145010498</v>
      </c>
      <c r="AC204" s="114">
        <v>3.0171946879285487</v>
      </c>
      <c r="AD204" s="114">
        <v>3726927.1723093372</v>
      </c>
      <c r="AE204" s="114">
        <v>3.0254786838942453</v>
      </c>
      <c r="AF204" s="382">
        <v>4.5838471566637704</v>
      </c>
      <c r="AG204" s="163">
        <v>3.2691143236937469E-2</v>
      </c>
      <c r="AH204" s="436">
        <v>4.6107199297309505</v>
      </c>
      <c r="AI204" s="434">
        <v>3.4163371898817317E-2</v>
      </c>
      <c r="AJ204" s="21">
        <v>0</v>
      </c>
      <c r="AL204" s="21">
        <v>0</v>
      </c>
    </row>
    <row r="205" spans="1:38" s="21" customFormat="1" x14ac:dyDescent="0.15">
      <c r="A205" s="113" t="s">
        <v>783</v>
      </c>
      <c r="B205" s="324">
        <v>20832.773474781647</v>
      </c>
      <c r="C205" s="114">
        <v>8.6298317835446031E-2</v>
      </c>
      <c r="D205" s="114">
        <v>34347.26783454731</v>
      </c>
      <c r="E205" s="114">
        <v>5.9163555669752059E-2</v>
      </c>
      <c r="F205" s="114">
        <v>19357.460630184611</v>
      </c>
      <c r="G205" s="114">
        <v>8.5525519954204501E-2</v>
      </c>
      <c r="H205" s="114">
        <v>19357.460630184611</v>
      </c>
      <c r="I205" s="114">
        <v>8.5525519954204501E-2</v>
      </c>
      <c r="J205" s="114">
        <v>72663.573486081004</v>
      </c>
      <c r="K205" s="114">
        <v>4.5123526363446589E-2</v>
      </c>
      <c r="L205" s="114">
        <v>4406.2998046396824</v>
      </c>
      <c r="M205" s="114"/>
      <c r="N205" s="163">
        <v>2.1155561436823871</v>
      </c>
      <c r="O205" s="163">
        <v>2.0310673188127608</v>
      </c>
      <c r="P205" s="324">
        <v>5094.0831531907306</v>
      </c>
      <c r="Q205" s="114">
        <v>3.4792080989708665</v>
      </c>
      <c r="R205" s="114">
        <v>943842.15791774844</v>
      </c>
      <c r="S205" s="114">
        <v>3.2427800723143836</v>
      </c>
      <c r="T205" s="114">
        <v>3499.8181827982289</v>
      </c>
      <c r="U205" s="114">
        <v>4.7592231523468511</v>
      </c>
      <c r="V205" s="114">
        <v>4364.9954760123228</v>
      </c>
      <c r="W205" s="114">
        <v>3.2306402591307499</v>
      </c>
      <c r="X205" s="114">
        <v>4250245.2223952739</v>
      </c>
      <c r="Y205" s="114">
        <v>3.3327473127598384</v>
      </c>
      <c r="Z205" s="114">
        <v>3790.4046907251095</v>
      </c>
      <c r="AA205" s="114">
        <v>6.2326171345214796</v>
      </c>
      <c r="AB205" s="114">
        <v>905129.89460718853</v>
      </c>
      <c r="AC205" s="114">
        <v>3.3773663414392767</v>
      </c>
      <c r="AD205" s="114">
        <v>4173791.2442184682</v>
      </c>
      <c r="AE205" s="114">
        <v>3.3928007217345537</v>
      </c>
      <c r="AF205" s="382">
        <v>4.5871619368639847</v>
      </c>
      <c r="AG205" s="163">
        <v>2.4125679598120644E-2</v>
      </c>
      <c r="AH205" s="436">
        <v>4.6100030034690596</v>
      </c>
      <c r="AI205" s="434">
        <v>2.9795411406797607E-2</v>
      </c>
      <c r="AJ205" s="21">
        <v>0</v>
      </c>
      <c r="AL205" s="21">
        <v>0</v>
      </c>
    </row>
    <row r="206" spans="1:38" s="21" customFormat="1" x14ac:dyDescent="0.15">
      <c r="A206" s="113" t="s">
        <v>784</v>
      </c>
      <c r="B206" s="324">
        <v>20768.498516155178</v>
      </c>
      <c r="C206" s="114">
        <v>0.10211465829722986</v>
      </c>
      <c r="D206" s="114">
        <v>34340.136518774365</v>
      </c>
      <c r="E206" s="114">
        <v>5.2671674227306411E-2</v>
      </c>
      <c r="F206" s="114">
        <v>19365.609752930919</v>
      </c>
      <c r="G206" s="114">
        <v>0.11433141534469579</v>
      </c>
      <c r="H206" s="114">
        <v>19365.609752930919</v>
      </c>
      <c r="I206" s="114">
        <v>0.11433141534469579</v>
      </c>
      <c r="J206" s="114">
        <v>72420.543552982534</v>
      </c>
      <c r="K206" s="114">
        <v>5.3016880080836382E-2</v>
      </c>
      <c r="L206" s="114">
        <v>4536.1341278459058</v>
      </c>
      <c r="M206" s="114"/>
      <c r="N206" s="163">
        <v>2.1089183356446162</v>
      </c>
      <c r="O206" s="163">
        <v>2.0456753259050453</v>
      </c>
      <c r="P206" s="324">
        <v>5277.1701915804324</v>
      </c>
      <c r="Q206" s="114">
        <v>3.7716059444952763</v>
      </c>
      <c r="R206" s="114">
        <v>897694.27480999322</v>
      </c>
      <c r="S206" s="114">
        <v>3.059398967300833</v>
      </c>
      <c r="T206" s="114">
        <v>3783.3491134045044</v>
      </c>
      <c r="U206" s="114">
        <v>3.6784727657409118</v>
      </c>
      <c r="V206" s="114">
        <v>4594.0174157032252</v>
      </c>
      <c r="W206" s="114">
        <v>2.6280944691718204</v>
      </c>
      <c r="X206" s="114">
        <v>4036128.7157309116</v>
      </c>
      <c r="Y206" s="114">
        <v>3.1385822700485391</v>
      </c>
      <c r="Z206" s="114">
        <v>3418.3654841672442</v>
      </c>
      <c r="AA206" s="114">
        <v>7.0663017665407724</v>
      </c>
      <c r="AB206" s="114">
        <v>858760.12087551528</v>
      </c>
      <c r="AC206" s="114">
        <v>3.1949029167917229</v>
      </c>
      <c r="AD206" s="114">
        <v>3960289.8066937616</v>
      </c>
      <c r="AE206" s="114">
        <v>3.1977977550478469</v>
      </c>
      <c r="AF206" s="382">
        <v>4.5862598748833232</v>
      </c>
      <c r="AG206" s="163">
        <v>2.3463625547680483E-2</v>
      </c>
      <c r="AH206" s="436">
        <v>4.6115711489639377</v>
      </c>
      <c r="AI206" s="434">
        <v>2.2841835625070691E-2</v>
      </c>
      <c r="AJ206" s="21">
        <v>0</v>
      </c>
      <c r="AL206" s="21">
        <v>0</v>
      </c>
    </row>
    <row r="207" spans="1:38" s="21" customFormat="1" x14ac:dyDescent="0.15">
      <c r="A207" s="113" t="s">
        <v>785</v>
      </c>
      <c r="B207" s="324">
        <v>20869.401803962774</v>
      </c>
      <c r="C207" s="114">
        <v>0.10466111026884262</v>
      </c>
      <c r="D207" s="114">
        <v>34038.675088436539</v>
      </c>
      <c r="E207" s="114">
        <v>5.3342619935512037E-2</v>
      </c>
      <c r="F207" s="114">
        <v>19242.430839080571</v>
      </c>
      <c r="G207" s="114">
        <v>0.11869262625615953</v>
      </c>
      <c r="H207" s="114">
        <v>19242.430839080571</v>
      </c>
      <c r="I207" s="114">
        <v>0.11869262625615953</v>
      </c>
      <c r="J207" s="114">
        <v>71456.794126010587</v>
      </c>
      <c r="K207" s="114">
        <v>4.0008008018782772E-2</v>
      </c>
      <c r="L207" s="114">
        <v>4249.8526586895314</v>
      </c>
      <c r="M207" s="114"/>
      <c r="N207" s="163">
        <v>2.0992824761938387</v>
      </c>
      <c r="O207" s="163">
        <v>1.9955661231093957</v>
      </c>
      <c r="P207" s="324">
        <v>4824.0069826464432</v>
      </c>
      <c r="Q207" s="114">
        <v>3.3920114336895111</v>
      </c>
      <c r="R207" s="114">
        <v>943818.04216145689</v>
      </c>
      <c r="S207" s="114">
        <v>3.7815510516383344</v>
      </c>
      <c r="T207" s="114">
        <v>3815.6083816086339</v>
      </c>
      <c r="U207" s="114">
        <v>4.7413204014708912</v>
      </c>
      <c r="V207" s="114">
        <v>4362.8471332146364</v>
      </c>
      <c r="W207" s="114">
        <v>3.0581872634924876</v>
      </c>
      <c r="X207" s="114">
        <v>4248219.7535927845</v>
      </c>
      <c r="Y207" s="114">
        <v>3.8797420560580167</v>
      </c>
      <c r="Z207" s="114">
        <v>3298.7270219449406</v>
      </c>
      <c r="AA207" s="114">
        <v>6.5960033376939569</v>
      </c>
      <c r="AB207" s="114">
        <v>905416.5199398062</v>
      </c>
      <c r="AC207" s="114">
        <v>3.9382708668569073</v>
      </c>
      <c r="AD207" s="114">
        <v>4173464.2324448274</v>
      </c>
      <c r="AE207" s="114">
        <v>3.9491253436390124</v>
      </c>
      <c r="AF207" s="382">
        <v>4.5840736858484687</v>
      </c>
      <c r="AG207" s="163">
        <v>2.4837744147581251E-2</v>
      </c>
      <c r="AH207" s="436">
        <v>4.6085948267066836</v>
      </c>
      <c r="AI207" s="434">
        <v>2.3544495531133035E-2</v>
      </c>
      <c r="AJ207" s="21">
        <v>0</v>
      </c>
      <c r="AL207" s="21">
        <v>0</v>
      </c>
    </row>
    <row r="208" spans="1:38" s="21" customFormat="1" x14ac:dyDescent="0.15">
      <c r="A208" s="113" t="s">
        <v>786</v>
      </c>
      <c r="B208" s="324">
        <v>20603.823488042464</v>
      </c>
      <c r="C208" s="114">
        <v>0.11525842164582546</v>
      </c>
      <c r="D208" s="114">
        <v>33919.32670813697</v>
      </c>
      <c r="E208" s="114">
        <v>6.2082256929572095E-2</v>
      </c>
      <c r="F208" s="114">
        <v>19182.950397069508</v>
      </c>
      <c r="G208" s="114">
        <v>9.7760754115395171E-2</v>
      </c>
      <c r="H208" s="114">
        <v>19182.950397069508</v>
      </c>
      <c r="I208" s="114">
        <v>9.7760754115395171E-2</v>
      </c>
      <c r="J208" s="114">
        <v>71354.164670933038</v>
      </c>
      <c r="K208" s="114">
        <v>5.4874422538490369E-2</v>
      </c>
      <c r="L208" s="114">
        <v>4824.1077187543488</v>
      </c>
      <c r="M208" s="114"/>
      <c r="N208" s="163">
        <v>2.1036433088695641</v>
      </c>
      <c r="O208" s="163">
        <v>2.0386476641373821</v>
      </c>
      <c r="P208" s="324">
        <v>5455.6168637006203</v>
      </c>
      <c r="Q208" s="114">
        <v>3.2201222052950085</v>
      </c>
      <c r="R208" s="114">
        <v>917692.32604905334</v>
      </c>
      <c r="S208" s="114">
        <v>3.9915956794302656</v>
      </c>
      <c r="T208" s="114">
        <v>4096.9896853387363</v>
      </c>
      <c r="U208" s="114">
        <v>4.1287163500826942</v>
      </c>
      <c r="V208" s="114">
        <v>4834.290828180031</v>
      </c>
      <c r="W208" s="114">
        <v>2.6580860578744487</v>
      </c>
      <c r="X208" s="114">
        <v>4126943.7634972706</v>
      </c>
      <c r="Y208" s="114">
        <v>4.1131715031874077</v>
      </c>
      <c r="Z208" s="114">
        <v>3740.8881894091214</v>
      </c>
      <c r="AA208" s="114">
        <v>5.8012917967159146</v>
      </c>
      <c r="AB208" s="114">
        <v>878938.70851273614</v>
      </c>
      <c r="AC208" s="114">
        <v>4.1681623011830773</v>
      </c>
      <c r="AD208" s="114">
        <v>4051848.7106369273</v>
      </c>
      <c r="AE208" s="114">
        <v>4.1902013073259585</v>
      </c>
      <c r="AF208" s="382">
        <v>4.5785264414936071</v>
      </c>
      <c r="AG208" s="163">
        <v>2.3927020720468199E-2</v>
      </c>
      <c r="AH208" s="436">
        <v>4.6082100168525226</v>
      </c>
      <c r="AI208" s="434">
        <v>3.2384635734573237E-2</v>
      </c>
      <c r="AJ208" s="21">
        <v>0</v>
      </c>
      <c r="AL208" s="21">
        <v>0</v>
      </c>
    </row>
    <row r="209" spans="1:38" s="21" customFormat="1" x14ac:dyDescent="0.15">
      <c r="A209" s="113" t="s">
        <v>787</v>
      </c>
      <c r="B209" s="324">
        <v>20578.495462180337</v>
      </c>
      <c r="C209" s="114">
        <v>0.1128247891450149</v>
      </c>
      <c r="D209" s="114">
        <v>33715.278957115734</v>
      </c>
      <c r="E209" s="114">
        <v>5.9833313348661744E-2</v>
      </c>
      <c r="F209" s="114">
        <v>19082.737424869054</v>
      </c>
      <c r="G209" s="114">
        <v>0.10103944706587205</v>
      </c>
      <c r="H209" s="114">
        <v>19082.737424869054</v>
      </c>
      <c r="I209" s="114">
        <v>0.10103944706587205</v>
      </c>
      <c r="J209" s="114">
        <v>71169.352359910074</v>
      </c>
      <c r="K209" s="114">
        <v>7.9728851027042538E-2</v>
      </c>
      <c r="L209" s="114">
        <v>4569.8744246528831</v>
      </c>
      <c r="M209" s="114"/>
      <c r="N209" s="163">
        <v>2.1108931784439386</v>
      </c>
      <c r="O209" s="163">
        <v>2.0576266305334392</v>
      </c>
      <c r="P209" s="324">
        <v>5061.428778454906</v>
      </c>
      <c r="Q209" s="114">
        <v>4.0749050095365211</v>
      </c>
      <c r="R209" s="114">
        <v>955507.35744996462</v>
      </c>
      <c r="S209" s="114">
        <v>3.999107802676519</v>
      </c>
      <c r="T209" s="114">
        <v>4074.4160299055929</v>
      </c>
      <c r="U209" s="114">
        <v>4.6120669304476198</v>
      </c>
      <c r="V209" s="114">
        <v>4610.0490859009569</v>
      </c>
      <c r="W209" s="114">
        <v>3.0015398289079762</v>
      </c>
      <c r="X209" s="114">
        <v>4306707.988147038</v>
      </c>
      <c r="Y209" s="114">
        <v>4.1084520064649404</v>
      </c>
      <c r="Z209" s="114">
        <v>3271.029752580353</v>
      </c>
      <c r="AA209" s="114">
        <v>7.9120472679327518</v>
      </c>
      <c r="AB209" s="114">
        <v>917182.02940694825</v>
      </c>
      <c r="AC209" s="114">
        <v>4.1633043413736495</v>
      </c>
      <c r="AD209" s="114">
        <v>4232267.606034548</v>
      </c>
      <c r="AE209" s="114">
        <v>4.179402098679514</v>
      </c>
      <c r="AF209" s="382">
        <v>4.5864983853590111</v>
      </c>
      <c r="AG209" s="163">
        <v>2.9183684283758608E-2</v>
      </c>
      <c r="AH209" s="436">
        <v>4.6127369931597766</v>
      </c>
      <c r="AI209" s="434">
        <v>2.909272829390477E-2</v>
      </c>
      <c r="AJ209" s="21">
        <v>0</v>
      </c>
      <c r="AL209" s="21">
        <v>0</v>
      </c>
    </row>
    <row r="210" spans="1:38" s="21" customFormat="1" x14ac:dyDescent="0.15">
      <c r="A210" s="113" t="s">
        <v>788</v>
      </c>
      <c r="B210" s="324">
        <v>20686.903135340333</v>
      </c>
      <c r="C210" s="114">
        <v>9.3000930322130054E-2</v>
      </c>
      <c r="D210" s="114">
        <v>33749.454193406615</v>
      </c>
      <c r="E210" s="114">
        <v>6.6279615769357453E-2</v>
      </c>
      <c r="F210" s="114">
        <v>19148.263424927427</v>
      </c>
      <c r="G210" s="114">
        <v>0.11541203829299536</v>
      </c>
      <c r="H210" s="114">
        <v>19148.263424927427</v>
      </c>
      <c r="I210" s="114">
        <v>0.11541203829299536</v>
      </c>
      <c r="J210" s="114">
        <v>71101.644749021973</v>
      </c>
      <c r="K210" s="114">
        <v>5.6106901159956417E-2</v>
      </c>
      <c r="L210" s="114">
        <v>4406.9302865736736</v>
      </c>
      <c r="M210" s="114"/>
      <c r="N210" s="163">
        <v>2.1067494704229199</v>
      </c>
      <c r="O210" s="163">
        <v>2.0443749708230903</v>
      </c>
      <c r="P210" s="324">
        <v>4802.5437655163887</v>
      </c>
      <c r="Q210" s="114">
        <v>3.6080423872935961</v>
      </c>
      <c r="R210" s="114">
        <v>926759.84652550728</v>
      </c>
      <c r="S210" s="114">
        <v>2.8954566644454798</v>
      </c>
      <c r="T210" s="114">
        <v>3892.4461984777131</v>
      </c>
      <c r="U210" s="114">
        <v>4.1783274275868898</v>
      </c>
      <c r="V210" s="114">
        <v>4386.3388475882302</v>
      </c>
      <c r="W210" s="114">
        <v>2.7022327518433955</v>
      </c>
      <c r="X210" s="114">
        <v>4172238.3534465563</v>
      </c>
      <c r="Y210" s="114">
        <v>2.9675386935286361</v>
      </c>
      <c r="Z210" s="114">
        <v>3212.0257584448027</v>
      </c>
      <c r="AA210" s="114">
        <v>6.2538584498617293</v>
      </c>
      <c r="AB210" s="114">
        <v>888624.05348451284</v>
      </c>
      <c r="AC210" s="114">
        <v>3.0166052754854991</v>
      </c>
      <c r="AD210" s="114">
        <v>4097924.6829390912</v>
      </c>
      <c r="AE210" s="114">
        <v>3.0207833257453065</v>
      </c>
      <c r="AF210" s="382">
        <v>4.5878694464570824</v>
      </c>
      <c r="AG210" s="163">
        <v>2.3890887052106478E-2</v>
      </c>
      <c r="AH210" s="436">
        <v>4.6113661766952116</v>
      </c>
      <c r="AI210" s="434">
        <v>2.4316938903854269E-2</v>
      </c>
      <c r="AJ210" s="21">
        <v>0</v>
      </c>
      <c r="AL210" s="21">
        <v>0</v>
      </c>
    </row>
    <row r="211" spans="1:38" s="21" customFormat="1" x14ac:dyDescent="0.15">
      <c r="A211" s="113" t="s">
        <v>789</v>
      </c>
      <c r="B211" s="324">
        <v>20526.237789642008</v>
      </c>
      <c r="C211" s="114">
        <v>9.9666722521838932E-2</v>
      </c>
      <c r="D211" s="114">
        <v>33779.560354749265</v>
      </c>
      <c r="E211" s="114">
        <v>5.9912685386070509E-2</v>
      </c>
      <c r="F211" s="114">
        <v>19183.018602335513</v>
      </c>
      <c r="G211" s="114">
        <v>0.11377012938648147</v>
      </c>
      <c r="H211" s="114">
        <v>19183.018602335513</v>
      </c>
      <c r="I211" s="114">
        <v>0.11377012938648147</v>
      </c>
      <c r="J211" s="114">
        <v>71141.658606041368</v>
      </c>
      <c r="K211" s="114">
        <v>4.7900426322910854E-2</v>
      </c>
      <c r="L211" s="114">
        <v>3984.242642238165</v>
      </c>
      <c r="M211" s="114"/>
      <c r="N211" s="163">
        <v>2.106056380216895</v>
      </c>
      <c r="O211" s="163">
        <v>1.9940469275417954</v>
      </c>
      <c r="P211" s="324">
        <v>4608.6398941791085</v>
      </c>
      <c r="Q211" s="114">
        <v>3.7922025314686905</v>
      </c>
      <c r="R211" s="114">
        <v>933586.45066452143</v>
      </c>
      <c r="S211" s="114">
        <v>2.9214352827094894</v>
      </c>
      <c r="T211" s="114">
        <v>3199.5647233772515</v>
      </c>
      <c r="U211" s="114">
        <v>5.2702157699219265</v>
      </c>
      <c r="V211" s="114">
        <v>3964.2430327234074</v>
      </c>
      <c r="W211" s="114">
        <v>3.1600829915704418</v>
      </c>
      <c r="X211" s="114">
        <v>4199907.5152710127</v>
      </c>
      <c r="Y211" s="114">
        <v>2.9921297108031921</v>
      </c>
      <c r="Z211" s="114">
        <v>3281.3248938263655</v>
      </c>
      <c r="AA211" s="114">
        <v>7.7340230698109105</v>
      </c>
      <c r="AB211" s="114">
        <v>895842.64727704891</v>
      </c>
      <c r="AC211" s="114">
        <v>3.0418528826014892</v>
      </c>
      <c r="AD211" s="114">
        <v>4125484.531771149</v>
      </c>
      <c r="AE211" s="114">
        <v>3.0468356575741513</v>
      </c>
      <c r="AF211" s="382">
        <v>4.5830008893334053</v>
      </c>
      <c r="AG211" s="163">
        <v>2.4474881181654067E-2</v>
      </c>
      <c r="AH211" s="436">
        <v>4.6048952769242826</v>
      </c>
      <c r="AI211" s="434">
        <v>2.121233469487319E-2</v>
      </c>
      <c r="AJ211" s="21">
        <v>0</v>
      </c>
      <c r="AL211" s="21">
        <v>0</v>
      </c>
    </row>
    <row r="212" spans="1:38" s="21" customFormat="1" x14ac:dyDescent="0.15">
      <c r="A212" s="113" t="s">
        <v>790</v>
      </c>
      <c r="B212" s="324">
        <v>20506.084795391071</v>
      </c>
      <c r="C212" s="114">
        <v>0.10392863185476021</v>
      </c>
      <c r="D212" s="114">
        <v>33706.333583811218</v>
      </c>
      <c r="E212" s="114">
        <v>5.620323576158575E-2</v>
      </c>
      <c r="F212" s="114">
        <v>19080.462945322088</v>
      </c>
      <c r="G212" s="114">
        <v>8.9620135164856896E-2</v>
      </c>
      <c r="H212" s="114">
        <v>19080.462945322088</v>
      </c>
      <c r="I212" s="114">
        <v>8.9620135164856896E-2</v>
      </c>
      <c r="J212" s="114">
        <v>70901.731337131045</v>
      </c>
      <c r="K212" s="114">
        <v>5.7120867824983351E-2</v>
      </c>
      <c r="L212" s="114">
        <v>4554.0765929236923</v>
      </c>
      <c r="M212" s="114"/>
      <c r="N212" s="163">
        <v>2.1035136070445932</v>
      </c>
      <c r="O212" s="163">
        <v>2.0101020339949631</v>
      </c>
      <c r="P212" s="324">
        <v>5239.1323851531897</v>
      </c>
      <c r="Q212" s="114">
        <v>3.3921408671033859</v>
      </c>
      <c r="R212" s="114">
        <v>883743.26847572799</v>
      </c>
      <c r="S212" s="114">
        <v>3.2663514279398371</v>
      </c>
      <c r="T212" s="114">
        <v>3821.9815061044255</v>
      </c>
      <c r="U212" s="114">
        <v>3.9405764761241593</v>
      </c>
      <c r="V212" s="114">
        <v>4591.0423488008109</v>
      </c>
      <c r="W212" s="114">
        <v>2.6568422941465206</v>
      </c>
      <c r="X212" s="114">
        <v>3973022.1219913745</v>
      </c>
      <c r="Y212" s="114">
        <v>3.3540844086547885</v>
      </c>
      <c r="Z212" s="114">
        <v>3002.436118450355</v>
      </c>
      <c r="AA212" s="114">
        <v>7.98182056885517</v>
      </c>
      <c r="AB212" s="114">
        <v>845445.89254311624</v>
      </c>
      <c r="AC212" s="114">
        <v>3.411656161840475</v>
      </c>
      <c r="AD212" s="114">
        <v>3899117.9545357944</v>
      </c>
      <c r="AE212" s="114">
        <v>3.4180781167555128</v>
      </c>
      <c r="AF212" s="382">
        <v>4.5864515988817205</v>
      </c>
      <c r="AG212" s="163">
        <v>1.9262567112404892E-2</v>
      </c>
      <c r="AH212" s="436">
        <v>4.6114715898804084</v>
      </c>
      <c r="AI212" s="434">
        <v>2.2915384814301054E-2</v>
      </c>
      <c r="AJ212" s="21">
        <v>0</v>
      </c>
      <c r="AL212" s="21">
        <v>0</v>
      </c>
    </row>
    <row r="213" spans="1:38" s="21" customFormat="1" x14ac:dyDescent="0.15">
      <c r="A213" s="113" t="s">
        <v>791</v>
      </c>
      <c r="B213" s="324">
        <v>20497.766162089803</v>
      </c>
      <c r="C213" s="114">
        <v>0.10442129643840727</v>
      </c>
      <c r="D213" s="114">
        <v>33313.88848839562</v>
      </c>
      <c r="E213" s="114">
        <v>5.4867047211490348E-2</v>
      </c>
      <c r="F213" s="114">
        <v>18839.759328735712</v>
      </c>
      <c r="G213" s="114">
        <v>0.10141910930012223</v>
      </c>
      <c r="H213" s="114">
        <v>18839.759328735712</v>
      </c>
      <c r="I213" s="114">
        <v>0.10141910930012223</v>
      </c>
      <c r="J213" s="114">
        <v>70068.960489162331</v>
      </c>
      <c r="K213" s="114">
        <v>4.4519834233569318E-2</v>
      </c>
      <c r="L213" s="114">
        <v>4657.2917314062888</v>
      </c>
      <c r="M213" s="114"/>
      <c r="N213" s="163">
        <v>2.1032957624736532</v>
      </c>
      <c r="O213" s="163">
        <v>2.0149448017162137</v>
      </c>
      <c r="P213" s="324">
        <v>5240.8796905922763</v>
      </c>
      <c r="Q213" s="114">
        <v>3.0821436303661671</v>
      </c>
      <c r="R213" s="114">
        <v>934815.88902614452</v>
      </c>
      <c r="S213" s="114">
        <v>4.6053609823923116</v>
      </c>
      <c r="T213" s="114">
        <v>4324.6583065492296</v>
      </c>
      <c r="U213" s="114">
        <v>3.4766428150155773</v>
      </c>
      <c r="V213" s="114">
        <v>4821.8742347371726</v>
      </c>
      <c r="W213" s="114">
        <v>2.2374678267509585</v>
      </c>
      <c r="X213" s="114">
        <v>4210787.1309061013</v>
      </c>
      <c r="Y213" s="114">
        <v>4.7332701823975984</v>
      </c>
      <c r="Z213" s="114">
        <v>2905.0935775427488</v>
      </c>
      <c r="AA213" s="114">
        <v>7.6782180427815518</v>
      </c>
      <c r="AB213" s="114">
        <v>896680.12630301097</v>
      </c>
      <c r="AC213" s="114">
        <v>4.8019241865928048</v>
      </c>
      <c r="AD213" s="114">
        <v>4137813.0768393939</v>
      </c>
      <c r="AE213" s="114">
        <v>4.8155181511180896</v>
      </c>
      <c r="AF213" s="382">
        <v>4.5824948820601339</v>
      </c>
      <c r="AG213" s="163">
        <v>2.722006090679718E-2</v>
      </c>
      <c r="AH213" s="436">
        <v>4.6134481391304725</v>
      </c>
      <c r="AI213" s="434">
        <v>2.6188188797679483E-2</v>
      </c>
      <c r="AJ213" s="21">
        <v>0</v>
      </c>
      <c r="AL213" s="21">
        <v>0</v>
      </c>
    </row>
    <row r="214" spans="1:38" s="21" customFormat="1" x14ac:dyDescent="0.15">
      <c r="A214" s="113" t="s">
        <v>792</v>
      </c>
      <c r="B214" s="324">
        <v>20195.401768933643</v>
      </c>
      <c r="C214" s="114">
        <v>0.12766700160133462</v>
      </c>
      <c r="D214" s="114">
        <v>33343.826514764383</v>
      </c>
      <c r="E214" s="114">
        <v>5.8837816258795896E-2</v>
      </c>
      <c r="F214" s="114">
        <v>18920.918080255204</v>
      </c>
      <c r="G214" s="114">
        <v>0.1073060142569307</v>
      </c>
      <c r="H214" s="114">
        <v>18920.918080255204</v>
      </c>
      <c r="I214" s="114">
        <v>0.1073060142569307</v>
      </c>
      <c r="J214" s="114">
        <v>69455.617024649255</v>
      </c>
      <c r="K214" s="114">
        <v>5.2615195516629673E-2</v>
      </c>
      <c r="L214" s="114">
        <v>4626.0761230858425</v>
      </c>
      <c r="M214" s="114"/>
      <c r="N214" s="163">
        <v>2.0830127878063083</v>
      </c>
      <c r="O214" s="163">
        <v>1.9890032927386412</v>
      </c>
      <c r="P214" s="324">
        <v>5230.8759653745929</v>
      </c>
      <c r="Q214" s="114">
        <v>2.9185191078138235</v>
      </c>
      <c r="R214" s="114">
        <v>852033.28750410792</v>
      </c>
      <c r="S214" s="114">
        <v>3.5262594437683452</v>
      </c>
      <c r="T214" s="114">
        <v>3941.9894669921109</v>
      </c>
      <c r="U214" s="114">
        <v>4.0697305199289264</v>
      </c>
      <c r="V214" s="114">
        <v>4641.4436685457013</v>
      </c>
      <c r="W214" s="114">
        <v>2.5730930413355395</v>
      </c>
      <c r="X214" s="114">
        <v>3829480.7068772744</v>
      </c>
      <c r="Y214" s="114">
        <v>3.6335757372721558</v>
      </c>
      <c r="Z214" s="114">
        <v>2689.4525473401973</v>
      </c>
      <c r="AA214" s="114">
        <v>8.0841743953412024</v>
      </c>
      <c r="AB214" s="114">
        <v>814048.0173207979</v>
      </c>
      <c r="AC214" s="114">
        <v>3.6892342364172293</v>
      </c>
      <c r="AD214" s="114">
        <v>3757335.6373052849</v>
      </c>
      <c r="AE214" s="114">
        <v>3.7026604892822355</v>
      </c>
      <c r="AF214" s="382">
        <v>4.5860603858969071</v>
      </c>
      <c r="AG214" s="163">
        <v>3.0506730380902229E-2</v>
      </c>
      <c r="AH214" s="436">
        <v>4.6147243747327984</v>
      </c>
      <c r="AI214" s="434">
        <v>3.2336759295084019E-2</v>
      </c>
      <c r="AJ214" s="21">
        <v>0</v>
      </c>
      <c r="AL214" s="21">
        <v>0</v>
      </c>
    </row>
    <row r="215" spans="1:38" s="21" customFormat="1" x14ac:dyDescent="0.15">
      <c r="A215" s="113" t="s">
        <v>793</v>
      </c>
      <c r="B215" s="324">
        <v>20464.340147298932</v>
      </c>
      <c r="C215" s="114">
        <v>0.11521814129236498</v>
      </c>
      <c r="D215" s="114">
        <v>33295.749844632664</v>
      </c>
      <c r="E215" s="114">
        <v>7.0644307979284796E-2</v>
      </c>
      <c r="F215" s="114">
        <v>19053.938604830306</v>
      </c>
      <c r="G215" s="114">
        <v>9.9133387842873913E-2</v>
      </c>
      <c r="H215" s="114">
        <v>19053.938604830306</v>
      </c>
      <c r="I215" s="114">
        <v>9.9133387842873913E-2</v>
      </c>
      <c r="J215" s="114">
        <v>69567.353250133267</v>
      </c>
      <c r="K215" s="114">
        <v>4.2321547981359987E-2</v>
      </c>
      <c r="L215" s="114">
        <v>4398.9503933367496</v>
      </c>
      <c r="M215" s="114"/>
      <c r="N215" s="163">
        <v>2.0893763791100697</v>
      </c>
      <c r="O215" s="163">
        <v>1.9930680397758698</v>
      </c>
      <c r="P215" s="324">
        <v>5065.5367647075527</v>
      </c>
      <c r="Q215" s="114">
        <v>3.5020465537415135</v>
      </c>
      <c r="R215" s="114">
        <v>887509.67253912683</v>
      </c>
      <c r="S215" s="114">
        <v>2.7298972054855208</v>
      </c>
      <c r="T215" s="114">
        <v>3837.1946051910795</v>
      </c>
      <c r="U215" s="114">
        <v>4.8741851923249815</v>
      </c>
      <c r="V215" s="114">
        <v>4503.7925449611375</v>
      </c>
      <c r="W215" s="114">
        <v>2.8103429689014576</v>
      </c>
      <c r="X215" s="114">
        <v>3989668.8083397732</v>
      </c>
      <c r="Y215" s="114">
        <v>2.810418721348336</v>
      </c>
      <c r="Z215" s="114">
        <v>2966.9523687732881</v>
      </c>
      <c r="AA215" s="114">
        <v>8.2186993412583806</v>
      </c>
      <c r="AB215" s="114">
        <v>849710.13014953281</v>
      </c>
      <c r="AC215" s="114">
        <v>2.8471196675586539</v>
      </c>
      <c r="AD215" s="114">
        <v>3917134.5027208664</v>
      </c>
      <c r="AE215" s="114">
        <v>2.8604261217881661</v>
      </c>
      <c r="AF215" s="382">
        <v>4.582760615390252</v>
      </c>
      <c r="AG215" s="163">
        <v>2.6748387003888832E-2</v>
      </c>
      <c r="AH215" s="436">
        <v>4.6089609573904555</v>
      </c>
      <c r="AI215" s="434">
        <v>2.8377246742959179E-2</v>
      </c>
      <c r="AJ215" s="21">
        <v>0</v>
      </c>
      <c r="AL215" s="21">
        <v>0</v>
      </c>
    </row>
    <row r="216" spans="1:38" s="21" customFormat="1" x14ac:dyDescent="0.15">
      <c r="A216" s="113" t="s">
        <v>794</v>
      </c>
      <c r="B216" s="324">
        <v>20486.78501187537</v>
      </c>
      <c r="C216" s="114">
        <v>0.10600423060933792</v>
      </c>
      <c r="D216" s="114">
        <v>33527.80962521211</v>
      </c>
      <c r="E216" s="114">
        <v>6.2433016513231313E-2</v>
      </c>
      <c r="F216" s="114">
        <v>19022.168779815129</v>
      </c>
      <c r="G216" s="114">
        <v>9.8414206131721901E-2</v>
      </c>
      <c r="H216" s="114">
        <v>19022.168779815129</v>
      </c>
      <c r="I216" s="114">
        <v>9.8414206131721901E-2</v>
      </c>
      <c r="J216" s="114">
        <v>70171.982151773365</v>
      </c>
      <c r="K216" s="114">
        <v>5.4459649179693329E-2</v>
      </c>
      <c r="L216" s="114">
        <v>4608.7988646526646</v>
      </c>
      <c r="M216" s="114"/>
      <c r="N216" s="163">
        <v>2.092948598079778</v>
      </c>
      <c r="O216" s="163">
        <v>2.037807042662954</v>
      </c>
      <c r="P216" s="324">
        <v>5127.6217522470606</v>
      </c>
      <c r="Q216" s="114">
        <v>4.0657048439898338</v>
      </c>
      <c r="R216" s="114">
        <v>954226.3247312</v>
      </c>
      <c r="S216" s="114">
        <v>3.8574591354509402</v>
      </c>
      <c r="T216" s="114">
        <v>4042.8691993838834</v>
      </c>
      <c r="U216" s="114">
        <v>4.4098699825659873</v>
      </c>
      <c r="V216" s="114">
        <v>4631.5437891932452</v>
      </c>
      <c r="W216" s="114">
        <v>3.0452353224845616</v>
      </c>
      <c r="X216" s="114">
        <v>4300209.0275312904</v>
      </c>
      <c r="Y216" s="114">
        <v>3.9587203443422503</v>
      </c>
      <c r="Z216" s="114">
        <v>3558.9599842768944</v>
      </c>
      <c r="AA216" s="114">
        <v>7.0552901499212259</v>
      </c>
      <c r="AB216" s="114">
        <v>916066.97131679452</v>
      </c>
      <c r="AC216" s="114">
        <v>4.01667447517152</v>
      </c>
      <c r="AD216" s="114">
        <v>4226478.0853952402</v>
      </c>
      <c r="AE216" s="114">
        <v>4.0262758378801333</v>
      </c>
      <c r="AF216" s="382">
        <v>4.5866038521542656</v>
      </c>
      <c r="AG216" s="163">
        <v>2.4799469402543954E-2</v>
      </c>
      <c r="AH216" s="436">
        <v>4.6131558879004082</v>
      </c>
      <c r="AI216" s="434">
        <v>2.4955195663598686E-2</v>
      </c>
      <c r="AJ216" s="21">
        <v>0</v>
      </c>
      <c r="AL216" s="21">
        <v>0</v>
      </c>
    </row>
    <row r="217" spans="1:38" s="21" customFormat="1" x14ac:dyDescent="0.15">
      <c r="A217" s="113" t="s">
        <v>795</v>
      </c>
      <c r="B217" s="324">
        <v>20521.826011255558</v>
      </c>
      <c r="C217" s="114">
        <v>9.8450257599537253E-2</v>
      </c>
      <c r="D217" s="114">
        <v>33701.826291940903</v>
      </c>
      <c r="E217" s="114">
        <v>9.3270433354898208E-2</v>
      </c>
      <c r="F217" s="114">
        <v>19251.593456530645</v>
      </c>
      <c r="G217" s="114">
        <v>8.9776509331347842E-2</v>
      </c>
      <c r="H217" s="114">
        <v>19251.593456530645</v>
      </c>
      <c r="I217" s="114">
        <v>8.9776509331347842E-2</v>
      </c>
      <c r="J217" s="114">
        <v>71100.969579444878</v>
      </c>
      <c r="K217" s="114">
        <v>0.1678906880239924</v>
      </c>
      <c r="L217" s="114">
        <v>33279.473431955856</v>
      </c>
      <c r="M217" s="114"/>
      <c r="N217" s="163">
        <v>2.1097067251945099</v>
      </c>
      <c r="O217" s="163">
        <v>140.67373324230812</v>
      </c>
      <c r="P217" s="324">
        <v>38994.912309546991</v>
      </c>
      <c r="Q217" s="114">
        <v>0.58629264371996415</v>
      </c>
      <c r="R217" s="114">
        <v>1855693.9043287777</v>
      </c>
      <c r="S217" s="114">
        <v>2.7615632393330856</v>
      </c>
      <c r="T217" s="114">
        <v>26847.624191578936</v>
      </c>
      <c r="U217" s="114">
        <v>0.7620784273459319</v>
      </c>
      <c r="V217" s="114">
        <v>33439.726539037481</v>
      </c>
      <c r="W217" s="114">
        <v>0.56084928708460913</v>
      </c>
      <c r="X217" s="114">
        <v>8337383.6218286054</v>
      </c>
      <c r="Y217" s="114">
        <v>2.8314050695695658</v>
      </c>
      <c r="Z217" s="114">
        <v>17014.356500645845</v>
      </c>
      <c r="AA217" s="114">
        <v>1.3447470236516965</v>
      </c>
      <c r="AB217" s="114">
        <v>1788552.3514977992</v>
      </c>
      <c r="AC217" s="114">
        <v>2.8588740003125124</v>
      </c>
      <c r="AD217" s="114">
        <v>8249268.2957485123</v>
      </c>
      <c r="AE217" s="114">
        <v>2.8608325909071688</v>
      </c>
      <c r="AF217" s="382">
        <v>4.5203245604602991</v>
      </c>
      <c r="AG217" s="163">
        <v>2.3968158725073425E-2</v>
      </c>
      <c r="AH217" s="436">
        <v>4.6122725933282451</v>
      </c>
      <c r="AI217" s="434">
        <v>1.6797271038817545E-2</v>
      </c>
      <c r="AJ217" s="21">
        <v>0</v>
      </c>
      <c r="AL217" s="21">
        <v>0</v>
      </c>
    </row>
    <row r="218" spans="1:38" s="21" customFormat="1" x14ac:dyDescent="0.15">
      <c r="A218" s="113" t="s">
        <v>796</v>
      </c>
      <c r="B218" s="324">
        <v>19748.989150551184</v>
      </c>
      <c r="C218" s="114">
        <v>0.12434821493406106</v>
      </c>
      <c r="D218" s="114">
        <v>31610.502473292516</v>
      </c>
      <c r="E218" s="114">
        <v>5.307402254342302E-2</v>
      </c>
      <c r="F218" s="114">
        <v>18286.149644918252</v>
      </c>
      <c r="G218" s="114">
        <v>0.10014629866163528</v>
      </c>
      <c r="H218" s="114">
        <v>18286.149644918252</v>
      </c>
      <c r="I218" s="114">
        <v>0.10014629866163528</v>
      </c>
      <c r="J218" s="114">
        <v>65003.898852886108</v>
      </c>
      <c r="K218" s="114">
        <v>5.3659391242248826E-2</v>
      </c>
      <c r="L218" s="114">
        <v>33768.731200059614</v>
      </c>
      <c r="M218" s="114"/>
      <c r="N218" s="163">
        <v>2.056401947669368</v>
      </c>
      <c r="O218" s="163">
        <v>-24.797579910459831</v>
      </c>
      <c r="P218" s="324">
        <v>39102.154310095451</v>
      </c>
      <c r="Q218" s="114">
        <v>0.56881574897061693</v>
      </c>
      <c r="R218" s="114">
        <v>1408366.4849528531</v>
      </c>
      <c r="S218" s="114">
        <v>2.148455606526873</v>
      </c>
      <c r="T218" s="114">
        <v>27650.342652964238</v>
      </c>
      <c r="U218" s="114">
        <v>0.68056883797114764</v>
      </c>
      <c r="V218" s="114">
        <v>33865.023145802959</v>
      </c>
      <c r="W218" s="114">
        <v>0.49043709126661078</v>
      </c>
      <c r="X218" s="114">
        <v>6287520.1980840405</v>
      </c>
      <c r="Y218" s="114">
        <v>2.1948482990246512</v>
      </c>
      <c r="Z218" s="114">
        <v>18305.309592891845</v>
      </c>
      <c r="AA218" s="114">
        <v>1.4169813052526075</v>
      </c>
      <c r="AB218" s="114">
        <v>1342890.9593337581</v>
      </c>
      <c r="AC218" s="114">
        <v>2.2456577208612369</v>
      </c>
      <c r="AD218" s="114">
        <v>6204210.9896382652</v>
      </c>
      <c r="AE218" s="114">
        <v>2.2231329821485861</v>
      </c>
      <c r="AF218" s="382">
        <v>4.5038152316029283</v>
      </c>
      <c r="AG218" s="163">
        <v>2.5021830386518847E-2</v>
      </c>
      <c r="AH218" s="436">
        <v>4.6221876512627951</v>
      </c>
      <c r="AI218" s="434">
        <v>3.3099565394023582E-2</v>
      </c>
      <c r="AJ218" s="21">
        <v>0</v>
      </c>
      <c r="AL218" s="21">
        <v>0</v>
      </c>
    </row>
    <row r="219" spans="1:38" s="21" customFormat="1" x14ac:dyDescent="0.15">
      <c r="A219" s="113" t="s">
        <v>797</v>
      </c>
      <c r="B219" s="324">
        <v>19893.047680379183</v>
      </c>
      <c r="C219" s="114">
        <v>0.10089415539573963</v>
      </c>
      <c r="D219" s="114">
        <v>31623.397574119008</v>
      </c>
      <c r="E219" s="114">
        <v>6.3260035168683157E-2</v>
      </c>
      <c r="F219" s="114">
        <v>18545.517608563907</v>
      </c>
      <c r="G219" s="114">
        <v>0.10415867474081468</v>
      </c>
      <c r="H219" s="114">
        <v>18545.517608563907</v>
      </c>
      <c r="I219" s="114">
        <v>0.10415867474081468</v>
      </c>
      <c r="J219" s="114">
        <v>64253.411599502477</v>
      </c>
      <c r="K219" s="114">
        <v>4.4113259610666616E-2</v>
      </c>
      <c r="L219" s="114">
        <v>31668.316582997944</v>
      </c>
      <c r="M219" s="114"/>
      <c r="N219" s="163">
        <v>2.0318313820931211</v>
      </c>
      <c r="O219" s="163">
        <v>-1189.8052774036703</v>
      </c>
      <c r="P219" s="324">
        <v>36747.193123487748</v>
      </c>
      <c r="Q219" s="114">
        <v>0.57393163092307309</v>
      </c>
      <c r="R219" s="114">
        <v>1778620.5576455528</v>
      </c>
      <c r="S219" s="114">
        <v>2.6972046946563939</v>
      </c>
      <c r="T219" s="114">
        <v>25690.641300962488</v>
      </c>
      <c r="U219" s="114">
        <v>0.74807804484373219</v>
      </c>
      <c r="V219" s="114">
        <v>31690.8217952618</v>
      </c>
      <c r="W219" s="114">
        <v>0.51094760193735322</v>
      </c>
      <c r="X219" s="114">
        <v>7993841.0866542449</v>
      </c>
      <c r="Y219" s="114">
        <v>2.7501749355890555</v>
      </c>
      <c r="Z219" s="114">
        <v>17700.047359429205</v>
      </c>
      <c r="AA219" s="114">
        <v>1.5118420094019474</v>
      </c>
      <c r="AB219" s="114">
        <v>1715306.3382761723</v>
      </c>
      <c r="AC219" s="114">
        <v>2.7916101240337983</v>
      </c>
      <c r="AD219" s="114">
        <v>7911887.6276953127</v>
      </c>
      <c r="AE219" s="114">
        <v>2.7789705473501503</v>
      </c>
      <c r="AF219" s="382">
        <v>4.5268287175538005</v>
      </c>
      <c r="AG219" s="163">
        <v>2.7269045074772267E-2</v>
      </c>
      <c r="AH219" s="436">
        <v>4.6141421562290645</v>
      </c>
      <c r="AI219" s="434">
        <v>2.4570871020617908E-2</v>
      </c>
      <c r="AJ219" s="21">
        <v>0</v>
      </c>
      <c r="AL219" s="21">
        <v>0</v>
      </c>
    </row>
    <row r="220" spans="1:38" s="21" customFormat="1" x14ac:dyDescent="0.15">
      <c r="A220" s="113" t="s">
        <v>798</v>
      </c>
      <c r="B220" s="324">
        <v>19603.034187721576</v>
      </c>
      <c r="C220" s="114">
        <v>0.1084528919684664</v>
      </c>
      <c r="D220" s="114">
        <v>31471.037635196808</v>
      </c>
      <c r="E220" s="114">
        <v>5.9090987016639202E-2</v>
      </c>
      <c r="F220" s="114">
        <v>18372.403769701741</v>
      </c>
      <c r="G220" s="114">
        <v>0.10563056739293529</v>
      </c>
      <c r="H220" s="114">
        <v>18372.403769701741</v>
      </c>
      <c r="I220" s="114">
        <v>0.10563056739293529</v>
      </c>
      <c r="J220" s="114">
        <v>63916.528148317455</v>
      </c>
      <c r="K220" s="114">
        <v>5.8457369003379167E-2</v>
      </c>
      <c r="L220" s="114">
        <v>31977.146683877323</v>
      </c>
      <c r="M220" s="114"/>
      <c r="N220" s="163">
        <v>2.0309634810653341</v>
      </c>
      <c r="O220" s="163">
        <v>-101.92335648456046</v>
      </c>
      <c r="P220" s="324">
        <v>37072.855813607042</v>
      </c>
      <c r="Q220" s="114">
        <v>0.65045351886703651</v>
      </c>
      <c r="R220" s="114">
        <v>1669492.662403818</v>
      </c>
      <c r="S220" s="114">
        <v>5.7549893949493578</v>
      </c>
      <c r="T220" s="114">
        <v>25881.637451599498</v>
      </c>
      <c r="U220" s="114">
        <v>0.82037076057037606</v>
      </c>
      <c r="V220" s="114">
        <v>31954.898916929051</v>
      </c>
      <c r="W220" s="114">
        <v>0.60934218245928462</v>
      </c>
      <c r="X220" s="114">
        <v>7498659.7956668902</v>
      </c>
      <c r="Y220" s="114">
        <v>5.9006062449351129</v>
      </c>
      <c r="Z220" s="114">
        <v>16609.333793195783</v>
      </c>
      <c r="AA220" s="114">
        <v>1.498604685145817</v>
      </c>
      <c r="AB220" s="114">
        <v>1606066.7258516927</v>
      </c>
      <c r="AC220" s="114">
        <v>5.9737196612986461</v>
      </c>
      <c r="AD220" s="114">
        <v>7418133.9337253757</v>
      </c>
      <c r="AE220" s="114">
        <v>5.9630262847640418</v>
      </c>
      <c r="AF220" s="382">
        <v>4.5297469944985762</v>
      </c>
      <c r="AG220" s="163">
        <v>8.4276803675155679E-2</v>
      </c>
      <c r="AH220" s="436">
        <v>4.6209297366291464</v>
      </c>
      <c r="AI220" s="434">
        <v>2.6571557089605593E-2</v>
      </c>
      <c r="AJ220" s="21">
        <v>0</v>
      </c>
      <c r="AL220" s="21">
        <v>0</v>
      </c>
    </row>
    <row r="221" spans="1:38" s="21" customFormat="1" x14ac:dyDescent="0.15">
      <c r="A221" s="113" t="s">
        <v>799</v>
      </c>
      <c r="B221" s="324">
        <v>19631.829947850823</v>
      </c>
      <c r="C221" s="114">
        <v>0.10623028440220997</v>
      </c>
      <c r="D221" s="114">
        <v>31049.18882293937</v>
      </c>
      <c r="E221" s="114">
        <v>6.973560933924168E-2</v>
      </c>
      <c r="F221" s="114">
        <v>18375.939728671128</v>
      </c>
      <c r="G221" s="114">
        <v>0.1045567280766161</v>
      </c>
      <c r="H221" s="114">
        <v>18375.939728671128</v>
      </c>
      <c r="I221" s="114">
        <v>0.1045567280766161</v>
      </c>
      <c r="J221" s="114">
        <v>63338.992847425106</v>
      </c>
      <c r="K221" s="114">
        <v>4.8642630276866335E-2</v>
      </c>
      <c r="L221" s="114">
        <v>31801.574695561394</v>
      </c>
      <c r="M221" s="114"/>
      <c r="N221" s="163">
        <v>2.0399564448727174</v>
      </c>
      <c r="O221" s="163">
        <v>-69.360840048236668</v>
      </c>
      <c r="P221" s="324">
        <v>36705.258188655192</v>
      </c>
      <c r="Q221" s="114">
        <v>0.85561864327800252</v>
      </c>
      <c r="R221" s="114">
        <v>542153.813016759</v>
      </c>
      <c r="S221" s="114">
        <v>5.1768279322709434</v>
      </c>
      <c r="T221" s="114">
        <v>25891.154012025574</v>
      </c>
      <c r="U221" s="114">
        <v>1.029813784651922</v>
      </c>
      <c r="V221" s="114">
        <v>31759.762777711596</v>
      </c>
      <c r="W221" s="114">
        <v>0.8053040787154363</v>
      </c>
      <c r="X221" s="114">
        <v>2285768.1216888558</v>
      </c>
      <c r="Y221" s="114">
        <v>5.668499547589902</v>
      </c>
      <c r="Z221" s="114">
        <v>16387.198121481102</v>
      </c>
      <c r="AA221" s="114">
        <v>1.6558353365299912</v>
      </c>
      <c r="AB221" s="114">
        <v>479344.86141610862</v>
      </c>
      <c r="AC221" s="114">
        <v>5.8139723887442969</v>
      </c>
      <c r="AD221" s="114">
        <v>2206041.9307199502</v>
      </c>
      <c r="AE221" s="114">
        <v>5.8685590694899652</v>
      </c>
      <c r="AF221" s="382">
        <v>4.2331587653870875</v>
      </c>
      <c r="AG221" s="163">
        <v>0.2335825930002699</v>
      </c>
      <c r="AH221" s="436">
        <v>4.5958187935491583</v>
      </c>
      <c r="AI221" s="434">
        <v>6.5291176773750334E-2</v>
      </c>
      <c r="AJ221" s="21">
        <v>0</v>
      </c>
      <c r="AL221" s="21">
        <v>0</v>
      </c>
    </row>
    <row r="222" spans="1:38" s="21" customFormat="1" x14ac:dyDescent="0.15">
      <c r="A222" s="113" t="s">
        <v>800</v>
      </c>
      <c r="B222" s="324">
        <v>19311.021884776615</v>
      </c>
      <c r="C222" s="114">
        <v>0.11717690737220363</v>
      </c>
      <c r="D222" s="114">
        <v>31009.28157069171</v>
      </c>
      <c r="E222" s="114">
        <v>6.2764294899813666E-2</v>
      </c>
      <c r="F222" s="114">
        <v>18257.858191272237</v>
      </c>
      <c r="G222" s="114">
        <v>0.11189193778514442</v>
      </c>
      <c r="H222" s="114">
        <v>18257.858191272237</v>
      </c>
      <c r="I222" s="114">
        <v>0.11189193778514442</v>
      </c>
      <c r="J222" s="114">
        <v>62843.757896454757</v>
      </c>
      <c r="K222" s="114">
        <v>5.1211085788542519E-2</v>
      </c>
      <c r="L222" s="114">
        <v>31899.491062642192</v>
      </c>
      <c r="M222" s="114"/>
      <c r="N222" s="163">
        <v>2.0266112181022362</v>
      </c>
      <c r="O222" s="163">
        <v>-58.061495522475425</v>
      </c>
      <c r="P222" s="324">
        <v>37138.690724001302</v>
      </c>
      <c r="Q222" s="114">
        <v>0.65591477005818311</v>
      </c>
      <c r="R222" s="114">
        <v>2220575.4080858133</v>
      </c>
      <c r="S222" s="114">
        <v>5.1769942859835894</v>
      </c>
      <c r="T222" s="114">
        <v>26071.462439729978</v>
      </c>
      <c r="U222" s="114">
        <v>0.69668656628579928</v>
      </c>
      <c r="V222" s="114">
        <v>32077.436846864421</v>
      </c>
      <c r="W222" s="114">
        <v>0.55278486180732722</v>
      </c>
      <c r="X222" s="114">
        <v>10039881.665549835</v>
      </c>
      <c r="Y222" s="114">
        <v>5.263866065706841</v>
      </c>
      <c r="Z222" s="114">
        <v>16978.205023945771</v>
      </c>
      <c r="AA222" s="114">
        <v>1.2487186282491067</v>
      </c>
      <c r="AB222" s="114">
        <v>2157488.6896682568</v>
      </c>
      <c r="AC222" s="114">
        <v>5.3228642115688203</v>
      </c>
      <c r="AD222" s="114">
        <v>9960059.7026294358</v>
      </c>
      <c r="AE222" s="114">
        <v>5.3053132547557773</v>
      </c>
      <c r="AF222" s="382">
        <v>4.5523407569908043</v>
      </c>
      <c r="AG222" s="163">
        <v>2.9714069591071195E-2</v>
      </c>
      <c r="AH222" s="436">
        <v>4.620543555096928</v>
      </c>
      <c r="AI222" s="434">
        <v>2.7126410655263292E-2</v>
      </c>
      <c r="AJ222" s="21">
        <v>0</v>
      </c>
      <c r="AL222" s="21">
        <v>0</v>
      </c>
    </row>
    <row r="223" spans="1:38" s="21" customFormat="1" x14ac:dyDescent="0.15">
      <c r="A223" s="113" t="s">
        <v>801</v>
      </c>
      <c r="B223" s="324">
        <v>19373.498577203281</v>
      </c>
      <c r="C223" s="114">
        <v>0.10194597241012314</v>
      </c>
      <c r="D223" s="114">
        <v>30947.175249120955</v>
      </c>
      <c r="E223" s="114">
        <v>7.2390763026519103E-2</v>
      </c>
      <c r="F223" s="114">
        <v>18161.106485001401</v>
      </c>
      <c r="G223" s="114">
        <v>0.10485323642607253</v>
      </c>
      <c r="H223" s="114">
        <v>18161.106485001401</v>
      </c>
      <c r="I223" s="114">
        <v>0.10485323642607253</v>
      </c>
      <c r="J223" s="114">
        <v>62593.296279110327</v>
      </c>
      <c r="K223" s="114">
        <v>4.5016484485576533E-2</v>
      </c>
      <c r="L223" s="114">
        <v>-780.49393289754698</v>
      </c>
      <c r="M223" s="114"/>
      <c r="N223" s="163">
        <v>2.0225851236903525</v>
      </c>
      <c r="O223" s="163">
        <v>1.6237328154411044</v>
      </c>
      <c r="P223" s="324">
        <v>-698.92120819471131</v>
      </c>
      <c r="Q223" s="114">
        <v>-38.063460900242575</v>
      </c>
      <c r="R223" s="114">
        <v>567992.12482846295</v>
      </c>
      <c r="S223" s="114">
        <v>15.065824890030617</v>
      </c>
      <c r="T223" s="114">
        <v>-777.51209361291012</v>
      </c>
      <c r="U223" s="114">
        <v>-28.936209158987936</v>
      </c>
      <c r="V223" s="114">
        <v>-734.86231407176126</v>
      </c>
      <c r="W223" s="114">
        <v>-26.199229200485799</v>
      </c>
      <c r="X223" s="114">
        <v>2571068.7852193494</v>
      </c>
      <c r="Y223" s="114">
        <v>15.505100474882843</v>
      </c>
      <c r="Z223" s="114">
        <v>-513.220668306834</v>
      </c>
      <c r="AA223" s="114">
        <v>-54.67310818821683</v>
      </c>
      <c r="AB223" s="114">
        <v>537779.81189341354</v>
      </c>
      <c r="AC223" s="114">
        <v>15.891268183029837</v>
      </c>
      <c r="AD223" s="114">
        <v>2508988.7096085451</v>
      </c>
      <c r="AE223" s="114">
        <v>15.883626418681837</v>
      </c>
      <c r="AF223" s="382">
        <v>4.6877568054653791</v>
      </c>
      <c r="AG223" s="163">
        <v>0.11347301217813485</v>
      </c>
      <c r="AH223" s="436">
        <v>4.6663748889649197</v>
      </c>
      <c r="AI223" s="434">
        <v>0.14199339144845491</v>
      </c>
      <c r="AJ223" s="21">
        <v>0</v>
      </c>
      <c r="AL223" s="21">
        <v>0</v>
      </c>
    </row>
    <row r="224" spans="1:38" s="21" customFormat="1" x14ac:dyDescent="0.15">
      <c r="A224" s="113" t="s">
        <v>802</v>
      </c>
      <c r="B224" s="324">
        <v>19181.604216800824</v>
      </c>
      <c r="C224" s="114">
        <v>0.12431973550022141</v>
      </c>
      <c r="D224" s="114">
        <v>30934.466149165928</v>
      </c>
      <c r="E224" s="114">
        <v>5.3347435926834871E-2</v>
      </c>
      <c r="F224" s="114">
        <v>18128.127679794423</v>
      </c>
      <c r="G224" s="114">
        <v>0.11183628441876137</v>
      </c>
      <c r="H224" s="114">
        <v>18128.127679794423</v>
      </c>
      <c r="I224" s="114">
        <v>0.11183628441876137</v>
      </c>
      <c r="J224" s="114">
        <v>62754.100317759163</v>
      </c>
      <c r="K224" s="114">
        <v>6.2029501473304632E-2</v>
      </c>
      <c r="L224" s="114">
        <v>4559.7010770110883</v>
      </c>
      <c r="M224" s="114"/>
      <c r="N224" s="163">
        <v>2.0286142975656678</v>
      </c>
      <c r="O224" s="163">
        <v>1.9715984360647565</v>
      </c>
      <c r="P224" s="324">
        <v>7464.0677485532487</v>
      </c>
      <c r="Q224" s="114">
        <v>9.2475452478840552</v>
      </c>
      <c r="R224" s="114">
        <v>674035.70898042677</v>
      </c>
      <c r="S224" s="114">
        <v>13.148833794177877</v>
      </c>
      <c r="T224" s="114">
        <v>5275.217271553478</v>
      </c>
      <c r="U224" s="114">
        <v>9.6279493089223056</v>
      </c>
      <c r="V224" s="114">
        <v>6463.064816415992</v>
      </c>
      <c r="W224" s="114">
        <v>9.14758075646081</v>
      </c>
      <c r="X224" s="114">
        <v>3043060.8148334273</v>
      </c>
      <c r="Y224" s="114">
        <v>13.547685302733973</v>
      </c>
      <c r="Z224" s="114">
        <v>3744.1853138976803</v>
      </c>
      <c r="AA224" s="114">
        <v>11.527793778645888</v>
      </c>
      <c r="AB224" s="114">
        <v>636638.17801484442</v>
      </c>
      <c r="AC224" s="114">
        <v>13.835730821398204</v>
      </c>
      <c r="AD224" s="114">
        <v>2976562.5292017711</v>
      </c>
      <c r="AE224" s="114">
        <v>13.839178217813014</v>
      </c>
      <c r="AF224" s="382">
        <v>4.6196207328981256</v>
      </c>
      <c r="AG224" s="163">
        <v>7.2116117256121715E-2</v>
      </c>
      <c r="AH224" s="436">
        <v>4.6787073236211647</v>
      </c>
      <c r="AI224" s="434">
        <v>8.9587324977419516E-2</v>
      </c>
      <c r="AJ224" s="21">
        <v>0</v>
      </c>
      <c r="AL224" s="21">
        <v>0</v>
      </c>
    </row>
    <row r="225" spans="1:38" s="21" customFormat="1" x14ac:dyDescent="0.15">
      <c r="A225" s="113" t="s">
        <v>803</v>
      </c>
      <c r="B225" s="324">
        <v>19188.656834310106</v>
      </c>
      <c r="C225" s="114">
        <v>0.11304168984027203</v>
      </c>
      <c r="D225" s="114">
        <v>31388.873500679721</v>
      </c>
      <c r="E225" s="114">
        <v>0.14836062009020076</v>
      </c>
      <c r="F225" s="114">
        <v>18210.381897961521</v>
      </c>
      <c r="G225" s="114">
        <v>0.12547414460928047</v>
      </c>
      <c r="H225" s="114">
        <v>18210.381897961521</v>
      </c>
      <c r="I225" s="114">
        <v>0.12547414460928047</v>
      </c>
      <c r="J225" s="114">
        <v>64722.888461184906</v>
      </c>
      <c r="K225" s="114">
        <v>0.26727376730129554</v>
      </c>
      <c r="L225" s="114">
        <v>-977.56051330670073</v>
      </c>
      <c r="M225" s="114"/>
      <c r="N225" s="163">
        <v>2.0619691388346046</v>
      </c>
      <c r="O225" s="163">
        <v>1.6543530456656976</v>
      </c>
      <c r="P225" s="324">
        <v>-1006.7152085739493</v>
      </c>
      <c r="Q225" s="114">
        <v>-18.486943592791732</v>
      </c>
      <c r="R225" s="114">
        <v>606366.74916358886</v>
      </c>
      <c r="S225" s="114">
        <v>12.140835137324055</v>
      </c>
      <c r="T225" s="114">
        <v>-1110.9652388637599</v>
      </c>
      <c r="U225" s="114">
        <v>-16.718685673865124</v>
      </c>
      <c r="V225" s="114">
        <v>-1054.3907291689129</v>
      </c>
      <c r="W225" s="114">
        <v>-11.966771953137711</v>
      </c>
      <c r="X225" s="114">
        <v>2758021.3256611684</v>
      </c>
      <c r="Y225" s="114">
        <v>12.482960433634734</v>
      </c>
      <c r="Z225" s="114">
        <v>-976.65305751651454</v>
      </c>
      <c r="AA225" s="114">
        <v>-29.821321132258266</v>
      </c>
      <c r="AB225" s="114">
        <v>576032.26639207848</v>
      </c>
      <c r="AC225" s="114">
        <v>12.782565245567284</v>
      </c>
      <c r="AD225" s="114">
        <v>2694275.0902574994</v>
      </c>
      <c r="AE225" s="114">
        <v>12.776984773812014</v>
      </c>
      <c r="AF225" s="382">
        <v>4.7013411324744014</v>
      </c>
      <c r="AG225" s="163">
        <v>0.11463356183371087</v>
      </c>
      <c r="AH225" s="436">
        <v>4.6777768402610826</v>
      </c>
      <c r="AI225" s="434">
        <v>8.2228612836741266E-2</v>
      </c>
      <c r="AJ225" s="21">
        <v>0</v>
      </c>
      <c r="AL225" s="21">
        <v>0</v>
      </c>
    </row>
    <row r="226" spans="1:38" s="21" customFormat="1" x14ac:dyDescent="0.15">
      <c r="A226" s="113" t="s">
        <v>804</v>
      </c>
      <c r="B226" s="324">
        <v>19227.037820139358</v>
      </c>
      <c r="C226" s="114">
        <v>0.13420813974553539</v>
      </c>
      <c r="D226" s="114">
        <v>30960.604142192133</v>
      </c>
      <c r="E226" s="114">
        <v>7.2431487558987484E-2</v>
      </c>
      <c r="F226" s="114">
        <v>18182.126269399418</v>
      </c>
      <c r="G226" s="114">
        <v>0.11932105493992388</v>
      </c>
      <c r="H226" s="114">
        <v>18182.126269399418</v>
      </c>
      <c r="I226" s="114">
        <v>0.11932105493992388</v>
      </c>
      <c r="J226" s="114">
        <v>62996.192252108885</v>
      </c>
      <c r="K226" s="114">
        <v>5.8298558573400903E-2</v>
      </c>
      <c r="L226" s="114">
        <v>9619.7858589817642</v>
      </c>
      <c r="M226" s="114"/>
      <c r="N226" s="163">
        <v>2.0347210268503666</v>
      </c>
      <c r="O226" s="163">
        <v>2.4354475020544002</v>
      </c>
      <c r="P226" s="324">
        <v>13513.653940095533</v>
      </c>
      <c r="Q226" s="114">
        <v>4.5317807002216064</v>
      </c>
      <c r="R226" s="114">
        <v>1186657.4880431104</v>
      </c>
      <c r="S226" s="114">
        <v>12.183951204250105</v>
      </c>
      <c r="T226" s="114">
        <v>9514.3690979250259</v>
      </c>
      <c r="U226" s="114">
        <v>4.8973029092240905</v>
      </c>
      <c r="V226" s="114">
        <v>11684.704957270529</v>
      </c>
      <c r="W226" s="114">
        <v>4.4640373821326316</v>
      </c>
      <c r="X226" s="114">
        <v>5422122.8865799475</v>
      </c>
      <c r="Y226" s="114">
        <v>12.447695649008743</v>
      </c>
      <c r="Z226" s="114">
        <v>6703.1240578765355</v>
      </c>
      <c r="AA226" s="114">
        <v>5.4923092602493595</v>
      </c>
      <c r="AB226" s="114">
        <v>1144012.1789436471</v>
      </c>
      <c r="AC226" s="114">
        <v>12.606373155847802</v>
      </c>
      <c r="AD226" s="114">
        <v>5352423.5702699656</v>
      </c>
      <c r="AE226" s="114">
        <v>12.607068655016642</v>
      </c>
      <c r="AF226" s="382">
        <v>4.572847408159106</v>
      </c>
      <c r="AG226" s="163">
        <v>0.15525290955433291</v>
      </c>
      <c r="AH226" s="436">
        <v>4.6760962216300621</v>
      </c>
      <c r="AI226" s="434">
        <v>4.1582543164653422E-2</v>
      </c>
      <c r="AJ226" s="21">
        <v>0</v>
      </c>
      <c r="AL226" s="21">
        <v>0</v>
      </c>
    </row>
    <row r="227" spans="1:38" s="21" customFormat="1" x14ac:dyDescent="0.15">
      <c r="A227" s="113" t="s">
        <v>805</v>
      </c>
      <c r="B227" s="324">
        <v>19457.586841086733</v>
      </c>
      <c r="C227" s="114">
        <v>0.11515659030839559</v>
      </c>
      <c r="D227" s="114">
        <v>30825.307880585518</v>
      </c>
      <c r="E227" s="114">
        <v>6.3610364123791563E-2</v>
      </c>
      <c r="F227" s="114">
        <v>18081.649231590836</v>
      </c>
      <c r="G227" s="114">
        <v>0.11121901050911348</v>
      </c>
      <c r="H227" s="114">
        <v>18081.649231590836</v>
      </c>
      <c r="I227" s="114">
        <v>0.11121901050911348</v>
      </c>
      <c r="J227" s="114">
        <v>62224.13394164441</v>
      </c>
      <c r="K227" s="114">
        <v>5.2298764588543128E-2</v>
      </c>
      <c r="L227" s="114">
        <v>-1078.9532167585385</v>
      </c>
      <c r="M227" s="114"/>
      <c r="N227" s="163">
        <v>2.0186054323510776</v>
      </c>
      <c r="O227" s="163">
        <v>1.5931455472553231</v>
      </c>
      <c r="P227" s="324">
        <v>-1235.1391426450293</v>
      </c>
      <c r="Q227" s="114">
        <v>-15.045597370946895</v>
      </c>
      <c r="R227" s="114">
        <v>614674.61893571645</v>
      </c>
      <c r="S227" s="114">
        <v>16.221880545324247</v>
      </c>
      <c r="T227" s="114">
        <v>-806.36865113781823</v>
      </c>
      <c r="U227" s="114">
        <v>-18.934025491166622</v>
      </c>
      <c r="V227" s="114">
        <v>-1039.0542461559132</v>
      </c>
      <c r="W227" s="114">
        <v>-11.565642968870023</v>
      </c>
      <c r="X227" s="114">
        <v>2789728.328069496</v>
      </c>
      <c r="Y227" s="114">
        <v>16.669462912474522</v>
      </c>
      <c r="Z227" s="114">
        <v>-680.91343657218772</v>
      </c>
      <c r="AA227" s="114">
        <v>-42.92711504161128</v>
      </c>
      <c r="AB227" s="114">
        <v>584888.36530128657</v>
      </c>
      <c r="AC227" s="114">
        <v>17.050311672116422</v>
      </c>
      <c r="AD227" s="114">
        <v>2728185.1075644218</v>
      </c>
      <c r="AE227" s="114">
        <v>17.043592054268561</v>
      </c>
      <c r="AF227" s="382">
        <v>4.6913577081907141</v>
      </c>
      <c r="AG227" s="163">
        <v>0.17012238911390973</v>
      </c>
      <c r="AH227" s="436">
        <v>4.6847599384984795</v>
      </c>
      <c r="AI227" s="434">
        <v>0.18114838946293979</v>
      </c>
      <c r="AJ227" s="21">
        <v>0</v>
      </c>
      <c r="AL227" s="21">
        <v>0</v>
      </c>
    </row>
    <row r="228" spans="1:38" s="21" customFormat="1" x14ac:dyDescent="0.15">
      <c r="A228" s="113" t="s">
        <v>806</v>
      </c>
      <c r="B228" s="324">
        <v>19390.707605696323</v>
      </c>
      <c r="C228" s="114">
        <v>0.1253257296034524</v>
      </c>
      <c r="D228" s="114">
        <v>30888.100290214497</v>
      </c>
      <c r="E228" s="114">
        <v>6.9873795056631161E-2</v>
      </c>
      <c r="F228" s="114">
        <v>18244.644372535629</v>
      </c>
      <c r="G228" s="114">
        <v>0.13543509745139412</v>
      </c>
      <c r="H228" s="114">
        <v>18244.644372535629</v>
      </c>
      <c r="I228" s="114">
        <v>0.13543509745139412</v>
      </c>
      <c r="J228" s="114">
        <v>62598.22696312872</v>
      </c>
      <c r="K228" s="114">
        <v>3.951782753927529E-2</v>
      </c>
      <c r="L228" s="114">
        <v>-1063.8975915136198</v>
      </c>
      <c r="M228" s="114"/>
      <c r="N228" s="163">
        <v>2.0266130443431689</v>
      </c>
      <c r="O228" s="163">
        <v>1.635394116139701</v>
      </c>
      <c r="P228" s="324">
        <v>-1201.4916025575646</v>
      </c>
      <c r="Q228" s="114">
        <v>-18.176040897303078</v>
      </c>
      <c r="R228" s="114">
        <v>376522.6107270018</v>
      </c>
      <c r="S228" s="114">
        <v>20.329895883486632</v>
      </c>
      <c r="T228" s="114">
        <v>-905.70429896652149</v>
      </c>
      <c r="U228" s="114">
        <v>-22.667125742580495</v>
      </c>
      <c r="V228" s="114">
        <v>-1066.2224458495891</v>
      </c>
      <c r="W228" s="114">
        <v>-13.331016574093509</v>
      </c>
      <c r="X228" s="114">
        <v>1680825.1314865048</v>
      </c>
      <c r="Y228" s="114">
        <v>21.29920128986614</v>
      </c>
      <c r="Z228" s="114">
        <v>-347.04361418636159</v>
      </c>
      <c r="AA228" s="114">
        <v>-69.412349571656151</v>
      </c>
      <c r="AB228" s="114">
        <v>346700.73288263666</v>
      </c>
      <c r="AC228" s="114">
        <v>22.072970628002992</v>
      </c>
      <c r="AD228" s="114">
        <v>1618573.9481375623</v>
      </c>
      <c r="AE228" s="114">
        <v>22.121619957230269</v>
      </c>
      <c r="AF228" s="382">
        <v>4.6712773213936618</v>
      </c>
      <c r="AG228" s="163">
        <v>0.34898943900200546</v>
      </c>
      <c r="AH228" s="436">
        <v>4.6240215154113606</v>
      </c>
      <c r="AI228" s="434">
        <v>0.61236186812757554</v>
      </c>
      <c r="AJ228" s="21">
        <v>0</v>
      </c>
      <c r="AL228" s="21">
        <v>0</v>
      </c>
    </row>
    <row r="229" spans="1:38" s="21" customFormat="1" x14ac:dyDescent="0.15">
      <c r="A229" s="113" t="s">
        <v>807</v>
      </c>
      <c r="B229" s="324">
        <v>19540.443219448745</v>
      </c>
      <c r="C229" s="114">
        <v>0.12177258852296716</v>
      </c>
      <c r="D229" s="114">
        <v>30930.903989795683</v>
      </c>
      <c r="E229" s="114">
        <v>7.1747142507853037E-2</v>
      </c>
      <c r="F229" s="114">
        <v>18238.344994159495</v>
      </c>
      <c r="G229" s="114">
        <v>9.4551836976942333E-2</v>
      </c>
      <c r="H229" s="114">
        <v>18238.344994159495</v>
      </c>
      <c r="I229" s="114">
        <v>9.4551836976942333E-2</v>
      </c>
      <c r="J229" s="114">
        <v>62756.472472121844</v>
      </c>
      <c r="K229" s="114">
        <v>5.8826925925164725E-2</v>
      </c>
      <c r="L229" s="114">
        <v>5186.9313933021276</v>
      </c>
      <c r="M229" s="114"/>
      <c r="N229" s="163">
        <v>2.0289246150977558</v>
      </c>
      <c r="O229" s="163">
        <v>1.9985543859771315</v>
      </c>
      <c r="P229" s="324">
        <v>7135.8248395283745</v>
      </c>
      <c r="Q229" s="114">
        <v>7.5694640137417277</v>
      </c>
      <c r="R229" s="114">
        <v>627997.01052446663</v>
      </c>
      <c r="S229" s="114">
        <v>17.760068515157588</v>
      </c>
      <c r="T229" s="114">
        <v>4959.599342412801</v>
      </c>
      <c r="U229" s="114">
        <v>8.4128387288688877</v>
      </c>
      <c r="V229" s="114">
        <v>6140.595550687015</v>
      </c>
      <c r="W229" s="114">
        <v>7.5949598500460178</v>
      </c>
      <c r="X229" s="114">
        <v>2822595.7137429705</v>
      </c>
      <c r="Y229" s="114">
        <v>18.443761134302271</v>
      </c>
      <c r="Z229" s="114">
        <v>3467.3039754552842</v>
      </c>
      <c r="AA229" s="114">
        <v>10.219470779582442</v>
      </c>
      <c r="AB229" s="114">
        <v>590925.51098398364</v>
      </c>
      <c r="AC229" s="114">
        <v>18.818487480032147</v>
      </c>
      <c r="AD229" s="114">
        <v>2756371.9372953908</v>
      </c>
      <c r="AE229" s="114">
        <v>18.88077119446104</v>
      </c>
      <c r="AF229" s="382">
        <v>4.5178631950940087</v>
      </c>
      <c r="AG229" s="163">
        <v>0.2539267412239074</v>
      </c>
      <c r="AH229" s="436">
        <v>4.6375411723953412</v>
      </c>
      <c r="AI229" s="434">
        <v>0.14155795673111513</v>
      </c>
      <c r="AJ229" s="21">
        <v>0</v>
      </c>
      <c r="AL229" s="21">
        <v>0</v>
      </c>
    </row>
    <row r="230" spans="1:38" s="21" customFormat="1" x14ac:dyDescent="0.15">
      <c r="A230" s="113" t="s">
        <v>808</v>
      </c>
      <c r="B230" s="324">
        <v>19348.204461239104</v>
      </c>
      <c r="C230" s="114">
        <v>0.10130439570067599</v>
      </c>
      <c r="D230" s="114">
        <v>31123.372384148759</v>
      </c>
      <c r="E230" s="114">
        <v>6.5128138597353932E-2</v>
      </c>
      <c r="F230" s="114">
        <v>18279.447638564143</v>
      </c>
      <c r="G230" s="114">
        <v>0.11195766372070018</v>
      </c>
      <c r="H230" s="114">
        <v>18279.447638564143</v>
      </c>
      <c r="I230" s="114">
        <v>0.11195766372070018</v>
      </c>
      <c r="J230" s="114">
        <v>63019.353520606484</v>
      </c>
      <c r="K230" s="114">
        <v>5.2416652321495477E-2</v>
      </c>
      <c r="L230" s="114">
        <v>19404.329928791383</v>
      </c>
      <c r="M230" s="114"/>
      <c r="N230" s="163">
        <v>2.0248240692805659</v>
      </c>
      <c r="O230" s="163">
        <v>4.4446426382968038</v>
      </c>
      <c r="P230" s="324">
        <v>23658.194113883928</v>
      </c>
      <c r="Q230" s="114">
        <v>3.1579487790235055</v>
      </c>
      <c r="R230" s="114">
        <v>700887.67367397062</v>
      </c>
      <c r="S230" s="114">
        <v>9.7554326775015721</v>
      </c>
      <c r="T230" s="114">
        <v>16437.364537005396</v>
      </c>
      <c r="U230" s="114">
        <v>3.3532714240952317</v>
      </c>
      <c r="V230" s="114">
        <v>20355.971483845587</v>
      </c>
      <c r="W230" s="114">
        <v>3.1749129416512725</v>
      </c>
      <c r="X230" s="114">
        <v>3098262.7160325153</v>
      </c>
      <c r="Y230" s="114">
        <v>10.23552258227684</v>
      </c>
      <c r="Z230" s="114">
        <v>10462.86247779453</v>
      </c>
      <c r="AA230" s="114">
        <v>3.6952456404798051</v>
      </c>
      <c r="AB230" s="114">
        <v>649408.32980597625</v>
      </c>
      <c r="AC230" s="114">
        <v>10.447994390949363</v>
      </c>
      <c r="AD230" s="114">
        <v>3024780.5000341134</v>
      </c>
      <c r="AE230" s="114">
        <v>10.475335014970781</v>
      </c>
      <c r="AF230" s="382">
        <v>4.4032519166356119</v>
      </c>
      <c r="AG230" s="163">
        <v>0.25352631621577087</v>
      </c>
      <c r="AH230" s="436">
        <v>4.650355690359441</v>
      </c>
      <c r="AI230" s="434">
        <v>6.7606913452989442E-2</v>
      </c>
      <c r="AJ230" s="21">
        <v>0</v>
      </c>
      <c r="AL230" s="21">
        <v>0</v>
      </c>
    </row>
    <row r="231" spans="1:38" s="21" customFormat="1" x14ac:dyDescent="0.15">
      <c r="A231" s="113" t="s">
        <v>809</v>
      </c>
      <c r="B231" s="324">
        <v>19471.562747417749</v>
      </c>
      <c r="C231" s="114">
        <v>0.11032549584915405</v>
      </c>
      <c r="D231" s="114">
        <v>30897.466826507349</v>
      </c>
      <c r="E231" s="114">
        <v>5.9405999413953386E-2</v>
      </c>
      <c r="F231" s="114">
        <v>18176.318257251107</v>
      </c>
      <c r="G231" s="114">
        <v>0.11347109314191001</v>
      </c>
      <c r="H231" s="114">
        <v>18176.318257251107</v>
      </c>
      <c r="I231" s="114">
        <v>0.11347109314191001</v>
      </c>
      <c r="J231" s="114">
        <v>61531.507289067631</v>
      </c>
      <c r="K231" s="114">
        <v>5.4871813663109552E-2</v>
      </c>
      <c r="L231" s="114">
        <v>-1284.1736154429198</v>
      </c>
      <c r="M231" s="114"/>
      <c r="N231" s="163">
        <v>1.9914741760084658</v>
      </c>
      <c r="O231" s="163">
        <v>1.5670892826187894</v>
      </c>
      <c r="P231" s="324">
        <v>-1540.6461175510542</v>
      </c>
      <c r="Q231" s="114">
        <v>-11.589008703043092</v>
      </c>
      <c r="R231" s="114">
        <v>394084.36850351252</v>
      </c>
      <c r="S231" s="114">
        <v>21.322249575710799</v>
      </c>
      <c r="T231" s="114">
        <v>-1114.1316218107697</v>
      </c>
      <c r="U231" s="114">
        <v>-14.23559503292919</v>
      </c>
      <c r="V231" s="114">
        <v>-1345.5929308115597</v>
      </c>
      <c r="W231" s="114">
        <v>-8.5683438593095964</v>
      </c>
      <c r="X231" s="114">
        <v>1760008.7266705311</v>
      </c>
      <c r="Y231" s="114">
        <v>22.291915413590651</v>
      </c>
      <c r="Z231" s="114">
        <v>-538.59257636778398</v>
      </c>
      <c r="AA231" s="114">
        <v>-42.048358684243652</v>
      </c>
      <c r="AB231" s="114">
        <v>364532.49460781674</v>
      </c>
      <c r="AC231" s="114">
        <v>23.046709105788441</v>
      </c>
      <c r="AD231" s="114">
        <v>1699015.811957831</v>
      </c>
      <c r="AE231" s="114">
        <v>23.090105748522827</v>
      </c>
      <c r="AF231" s="382">
        <v>4.7611538709703076</v>
      </c>
      <c r="AG231" s="163">
        <v>0.45168750078869302</v>
      </c>
      <c r="AH231" s="436">
        <v>4.6428518428379375</v>
      </c>
      <c r="AI231" s="434">
        <v>0.50035517840254273</v>
      </c>
      <c r="AJ231" s="21">
        <v>0</v>
      </c>
      <c r="AL231" s="21">
        <v>0</v>
      </c>
    </row>
    <row r="232" spans="1:38" s="21" customFormat="1" x14ac:dyDescent="0.15">
      <c r="A232" s="113" t="s">
        <v>810</v>
      </c>
      <c r="B232" s="324">
        <v>20562.557883359779</v>
      </c>
      <c r="C232" s="114">
        <v>0.12696359682083988</v>
      </c>
      <c r="D232" s="114">
        <v>32705.290111714086</v>
      </c>
      <c r="E232" s="114">
        <v>7.2504741754312443E-2</v>
      </c>
      <c r="F232" s="114">
        <v>9547.5057457204584</v>
      </c>
      <c r="G232" s="114">
        <v>0.71883471193407611</v>
      </c>
      <c r="H232" s="114">
        <v>9547.5057457204584</v>
      </c>
      <c r="I232" s="114">
        <v>0.71883471193407611</v>
      </c>
      <c r="J232" s="114">
        <v>67094.25160964203</v>
      </c>
      <c r="K232" s="114">
        <v>4.8288612318024823E-2</v>
      </c>
      <c r="L232" s="114">
        <v>2464.0565535308242</v>
      </c>
      <c r="M232" s="114"/>
      <c r="N232" s="163">
        <v>2.0514800932956962</v>
      </c>
      <c r="O232" s="163">
        <v>1.8320782630752726</v>
      </c>
      <c r="P232" s="324">
        <v>3325.9616436378333</v>
      </c>
      <c r="Q232" s="114">
        <v>6.2499750377562719</v>
      </c>
      <c r="R232" s="114">
        <v>2040724.7007145616</v>
      </c>
      <c r="S232" s="114">
        <v>0.34411295828039201</v>
      </c>
      <c r="T232" s="114">
        <v>2562.5068581706832</v>
      </c>
      <c r="U232" s="114">
        <v>22.527384570320272</v>
      </c>
      <c r="V232" s="114">
        <v>2976.8192573317824</v>
      </c>
      <c r="W232" s="114">
        <v>8.5709925184752667</v>
      </c>
      <c r="X232" s="114">
        <v>9185522.662691148</v>
      </c>
      <c r="Y232" s="114">
        <v>0.34537202200338268</v>
      </c>
      <c r="Z232" s="114">
        <v>3184.2481509421846</v>
      </c>
      <c r="AA232" s="114">
        <v>10.472566530386226</v>
      </c>
      <c r="AB232" s="114">
        <v>2005042.5913455156</v>
      </c>
      <c r="AC232" s="114">
        <v>0.34744225169962706</v>
      </c>
      <c r="AD232" s="114">
        <v>9115244.1629305705</v>
      </c>
      <c r="AE232" s="114">
        <v>0.34659300963462125</v>
      </c>
      <c r="AF232" s="382">
        <v>4.5383355052264189</v>
      </c>
      <c r="AG232" s="163">
        <v>8.9509220006331741E-3</v>
      </c>
      <c r="AH232" s="436">
        <v>4.5461694199534577</v>
      </c>
      <c r="AI232" s="434">
        <v>1.0641300058993228E-2</v>
      </c>
      <c r="AJ232" s="21">
        <v>0</v>
      </c>
      <c r="AL232" s="21">
        <v>0</v>
      </c>
    </row>
    <row r="233" spans="1:38" s="21" customFormat="1" x14ac:dyDescent="0.15">
      <c r="A233" s="113" t="s">
        <v>811</v>
      </c>
      <c r="B233" s="324">
        <v>20757.870272433469</v>
      </c>
      <c r="C233" s="114">
        <v>0.11876013714081277</v>
      </c>
      <c r="D233" s="114">
        <v>33534.901607211672</v>
      </c>
      <c r="E233" s="114">
        <v>6.8723777309307982E-2</v>
      </c>
      <c r="F233" s="114">
        <v>9653.6222485603303</v>
      </c>
      <c r="G233" s="114">
        <v>0.81397848451056709</v>
      </c>
      <c r="H233" s="114">
        <v>9653.6222485603303</v>
      </c>
      <c r="I233" s="114">
        <v>0.81397848451056709</v>
      </c>
      <c r="J233" s="114">
        <v>69310.377974321134</v>
      </c>
      <c r="K233" s="114">
        <v>5.8303070495948357E-2</v>
      </c>
      <c r="L233" s="114">
        <v>2865.1638261051344</v>
      </c>
      <c r="M233" s="114"/>
      <c r="N233" s="163">
        <v>2.0668132200338993</v>
      </c>
      <c r="O233" s="163">
        <v>1.8514161121413928</v>
      </c>
      <c r="P233" s="324">
        <v>3565.6271263455696</v>
      </c>
      <c r="Q233" s="114">
        <v>5.5077323239642686</v>
      </c>
      <c r="R233" s="114">
        <v>2027723.6048461073</v>
      </c>
      <c r="S233" s="114">
        <v>0.40198664718664445</v>
      </c>
      <c r="T233" s="114">
        <v>1537.1078564913955</v>
      </c>
      <c r="U233" s="114">
        <v>36.88281730510343</v>
      </c>
      <c r="V233" s="114">
        <v>2637.9467030558922</v>
      </c>
      <c r="W233" s="114">
        <v>9.5768165593729773</v>
      </c>
      <c r="X233" s="114">
        <v>9121302.1701400466</v>
      </c>
      <c r="Y233" s="114">
        <v>0.40766267719835975</v>
      </c>
      <c r="Z233" s="114">
        <v>1742.7220800387354</v>
      </c>
      <c r="AA233" s="114">
        <v>13.964974600625602</v>
      </c>
      <c r="AB233" s="114">
        <v>1991550.7565358393</v>
      </c>
      <c r="AC233" s="114">
        <v>0.40933005030510766</v>
      </c>
      <c r="AD233" s="114">
        <v>9050249.0700856913</v>
      </c>
      <c r="AE233" s="114">
        <v>0.41041299475391291</v>
      </c>
      <c r="AF233" s="382">
        <v>4.5388090815130155</v>
      </c>
      <c r="AG233" s="163">
        <v>1.3002923880260373E-2</v>
      </c>
      <c r="AH233" s="436">
        <v>4.5443113587699813</v>
      </c>
      <c r="AI233" s="434">
        <v>1.8812559981959496E-2</v>
      </c>
      <c r="AJ233" s="21">
        <v>0</v>
      </c>
      <c r="AL233" s="21">
        <v>0</v>
      </c>
    </row>
    <row r="234" spans="1:38" s="21" customFormat="1" x14ac:dyDescent="0.15">
      <c r="A234" s="113" t="s">
        <v>812</v>
      </c>
      <c r="B234" s="324">
        <v>20726.843216515859</v>
      </c>
      <c r="C234" s="114">
        <v>0.11130429836690031</v>
      </c>
      <c r="D234" s="114">
        <v>33979.846393750777</v>
      </c>
      <c r="E234" s="114">
        <v>7.399581402142727E-2</v>
      </c>
      <c r="F234" s="114">
        <v>8732.9354876848338</v>
      </c>
      <c r="G234" s="114">
        <v>0.83239275518306033</v>
      </c>
      <c r="H234" s="114">
        <v>8732.9354876848338</v>
      </c>
      <c r="I234" s="114">
        <v>0.83239275518306033</v>
      </c>
      <c r="J234" s="114">
        <v>70488.123317430945</v>
      </c>
      <c r="K234" s="114">
        <v>5.4398571539132169E-2</v>
      </c>
      <c r="L234" s="114">
        <v>2850.2745039521506</v>
      </c>
      <c r="M234" s="114"/>
      <c r="N234" s="163">
        <v>2.0744097104098267</v>
      </c>
      <c r="O234" s="163">
        <v>1.8993700263967659</v>
      </c>
      <c r="P234" s="324">
        <v>3470.0698225444748</v>
      </c>
      <c r="Q234" s="114">
        <v>5.4486850313556463</v>
      </c>
      <c r="R234" s="114">
        <v>2257944.5673685665</v>
      </c>
      <c r="S234" s="114">
        <v>0.32374869174662646</v>
      </c>
      <c r="T234" s="114">
        <v>1578.8684184721553</v>
      </c>
      <c r="U234" s="114">
        <v>35.554924639235225</v>
      </c>
      <c r="V234" s="114">
        <v>2605.1874696240779</v>
      </c>
      <c r="W234" s="114">
        <v>9.9912719506638563</v>
      </c>
      <c r="X234" s="114">
        <v>10173565.242138913</v>
      </c>
      <c r="Y234" s="114">
        <v>0.32562194813032391</v>
      </c>
      <c r="Z234" s="114">
        <v>2974.7363490143453</v>
      </c>
      <c r="AA234" s="114">
        <v>7.3446473854893712</v>
      </c>
      <c r="AB234" s="114">
        <v>2221359.533505192</v>
      </c>
      <c r="AC234" s="114">
        <v>0.32892362917005075</v>
      </c>
      <c r="AD234" s="114">
        <v>10100102.382472472</v>
      </c>
      <c r="AE234" s="114">
        <v>0.32697788922636306</v>
      </c>
      <c r="AF234" s="382">
        <v>4.5415832026966676</v>
      </c>
      <c r="AG234" s="163">
        <v>1.2699215455640431E-2</v>
      </c>
      <c r="AH234" s="436">
        <v>4.5468379127917418</v>
      </c>
      <c r="AI234" s="434">
        <v>1.5869816897790944E-2</v>
      </c>
      <c r="AJ234" s="21">
        <v>0</v>
      </c>
      <c r="AL234" s="21">
        <v>0</v>
      </c>
    </row>
    <row r="235" spans="1:38" s="21" customFormat="1" x14ac:dyDescent="0.15">
      <c r="A235" s="113" t="s">
        <v>813</v>
      </c>
      <c r="B235" s="324">
        <v>20721.509641473116</v>
      </c>
      <c r="C235" s="114">
        <v>0.10538856309624192</v>
      </c>
      <c r="D235" s="114">
        <v>33888.252715418079</v>
      </c>
      <c r="E235" s="114">
        <v>6.5603149995914586E-2</v>
      </c>
      <c r="F235" s="114">
        <v>9496.0905678024101</v>
      </c>
      <c r="G235" s="114">
        <v>0.85258449286022542</v>
      </c>
      <c r="H235" s="114">
        <v>9496.0905678024101</v>
      </c>
      <c r="I235" s="114">
        <v>0.85258449286022542</v>
      </c>
      <c r="J235" s="114">
        <v>71240.087244547161</v>
      </c>
      <c r="K235" s="114">
        <v>6.0193483452034804E-2</v>
      </c>
      <c r="L235" s="114">
        <v>2874.1892858908454</v>
      </c>
      <c r="M235" s="114"/>
      <c r="N235" s="163">
        <v>2.1022059721637754</v>
      </c>
      <c r="O235" s="163">
        <v>1.9007145251690505</v>
      </c>
      <c r="P235" s="324">
        <v>3540.2829906461184</v>
      </c>
      <c r="Q235" s="114">
        <v>5.6250301437442536</v>
      </c>
      <c r="R235" s="114">
        <v>2116927.1246671695</v>
      </c>
      <c r="S235" s="114">
        <v>0.21709816347757888</v>
      </c>
      <c r="T235" s="114">
        <v>1724.6018541474953</v>
      </c>
      <c r="U235" s="114">
        <v>32.833051238597783</v>
      </c>
      <c r="V235" s="114">
        <v>2709.9374916914981</v>
      </c>
      <c r="W235" s="114">
        <v>9.8907462007000877</v>
      </c>
      <c r="X235" s="114">
        <v>9528890.3495280892</v>
      </c>
      <c r="Y235" s="114">
        <v>0.22006735480541104</v>
      </c>
      <c r="Z235" s="114">
        <v>3062.2298951251951</v>
      </c>
      <c r="AA235" s="114">
        <v>7.9818340792755818</v>
      </c>
      <c r="AB235" s="114">
        <v>2080328.9344600614</v>
      </c>
      <c r="AC235" s="114">
        <v>0.22250082891396211</v>
      </c>
      <c r="AD235" s="114">
        <v>9454588.0323884171</v>
      </c>
      <c r="AE235" s="114">
        <v>0.22207753712076111</v>
      </c>
      <c r="AF235" s="382">
        <v>4.5392069403757231</v>
      </c>
      <c r="AG235" s="163">
        <v>1.3453633359847197E-2</v>
      </c>
      <c r="AH235" s="436">
        <v>4.5447632582389188</v>
      </c>
      <c r="AI235" s="434">
        <v>1.536758245390539E-2</v>
      </c>
      <c r="AJ235" s="21">
        <v>0</v>
      </c>
      <c r="AL235" s="21">
        <v>0</v>
      </c>
    </row>
    <row r="236" spans="1:38" s="21" customFormat="1" x14ac:dyDescent="0.15">
      <c r="A236" s="113" t="s">
        <v>814</v>
      </c>
      <c r="B236" s="324">
        <v>20530.086622735667</v>
      </c>
      <c r="C236" s="114">
        <v>0.12306647648452375</v>
      </c>
      <c r="D236" s="114">
        <v>33978.156878379828</v>
      </c>
      <c r="E236" s="114">
        <v>6.2093586494651812E-2</v>
      </c>
      <c r="F236" s="114">
        <v>9383.4265447671514</v>
      </c>
      <c r="G236" s="114">
        <v>0.85405137030368905</v>
      </c>
      <c r="H236" s="114">
        <v>9383.4265447671514</v>
      </c>
      <c r="I236" s="114">
        <v>0.85405137030368905</v>
      </c>
      <c r="J236" s="114">
        <v>71306.659023351735</v>
      </c>
      <c r="K236" s="114">
        <v>5.3915918506885055E-2</v>
      </c>
      <c r="L236" s="114">
        <v>3107.1813351796586</v>
      </c>
      <c r="M236" s="114"/>
      <c r="N236" s="163">
        <v>2.0986029135889912</v>
      </c>
      <c r="O236" s="163">
        <v>1.9248130442053708</v>
      </c>
      <c r="P236" s="324">
        <v>3652.6574531316055</v>
      </c>
      <c r="Q236" s="114">
        <v>5.5018480976541637</v>
      </c>
      <c r="R236" s="114">
        <v>2053857.2625576793</v>
      </c>
      <c r="S236" s="114">
        <v>0.18196007621842444</v>
      </c>
      <c r="T236" s="114">
        <v>3185.8917851077654</v>
      </c>
      <c r="U236" s="114">
        <v>20.202891480049921</v>
      </c>
      <c r="V236" s="114">
        <v>3439.1966401512232</v>
      </c>
      <c r="W236" s="114">
        <v>8.4483947428170527</v>
      </c>
      <c r="X236" s="114">
        <v>9246787.3988856282</v>
      </c>
      <c r="Y236" s="114">
        <v>0.18489082862984496</v>
      </c>
      <c r="Z236" s="114">
        <v>2080.5213937440612</v>
      </c>
      <c r="AA236" s="114">
        <v>13.270807506654476</v>
      </c>
      <c r="AB236" s="114">
        <v>2016439.9090391474</v>
      </c>
      <c r="AC236" s="114">
        <v>0.1846461513986167</v>
      </c>
      <c r="AD236" s="114">
        <v>9173400.2184685301</v>
      </c>
      <c r="AE236" s="114">
        <v>0.18626133949916809</v>
      </c>
      <c r="AF236" s="382">
        <v>4.5421093488777968</v>
      </c>
      <c r="AG236" s="163">
        <v>1.3509384159497402E-2</v>
      </c>
      <c r="AH236" s="436">
        <v>4.5493013509428728</v>
      </c>
      <c r="AI236" s="434">
        <v>1.9054167660136546E-2</v>
      </c>
      <c r="AJ236" s="21">
        <v>0</v>
      </c>
      <c r="AL236" s="21">
        <v>0</v>
      </c>
    </row>
    <row r="237" spans="1:38" s="21" customFormat="1" x14ac:dyDescent="0.15">
      <c r="A237" s="113" t="s">
        <v>815</v>
      </c>
      <c r="B237" s="324">
        <v>20507.137325755441</v>
      </c>
      <c r="C237" s="114">
        <v>0.12238486409562194</v>
      </c>
      <c r="D237" s="114">
        <v>33742.561177345837</v>
      </c>
      <c r="E237" s="114">
        <v>6.3751628788642059E-2</v>
      </c>
      <c r="F237" s="114">
        <v>9420.0975268145394</v>
      </c>
      <c r="G237" s="114">
        <v>0.7700262431653645</v>
      </c>
      <c r="H237" s="114">
        <v>9420.0975268145394</v>
      </c>
      <c r="I237" s="114">
        <v>0.7700262431653645</v>
      </c>
      <c r="J237" s="114">
        <v>71702.773511452891</v>
      </c>
      <c r="K237" s="114">
        <v>7.4598661343315831E-2</v>
      </c>
      <c r="L237" s="114">
        <v>2261.4314144384934</v>
      </c>
      <c r="M237" s="114"/>
      <c r="N237" s="163">
        <v>2.1249949917729682</v>
      </c>
      <c r="O237" s="163">
        <v>1.8974528483998347</v>
      </c>
      <c r="P237" s="324">
        <v>3503.298311956552</v>
      </c>
      <c r="Q237" s="114">
        <v>5.5425280995922037</v>
      </c>
      <c r="R237" s="114">
        <v>2105089.2470902498</v>
      </c>
      <c r="S237" s="114">
        <v>0.20720666710106297</v>
      </c>
      <c r="T237" s="114">
        <v>1418.8540180626808</v>
      </c>
      <c r="U237" s="114">
        <v>39.110191666261215</v>
      </c>
      <c r="V237" s="114">
        <v>2550.0423120654455</v>
      </c>
      <c r="W237" s="114">
        <v>10.828513726767744</v>
      </c>
      <c r="X237" s="114">
        <v>9480087.5324967932</v>
      </c>
      <c r="Y237" s="114">
        <v>0.20636849365083729</v>
      </c>
      <c r="Z237" s="114">
        <v>2288.9661921907027</v>
      </c>
      <c r="AA237" s="114">
        <v>11.955511604203714</v>
      </c>
      <c r="AB237" s="114">
        <v>2068796.643600838</v>
      </c>
      <c r="AC237" s="114">
        <v>0.21071767284427564</v>
      </c>
      <c r="AD237" s="114">
        <v>9406095.7927931454</v>
      </c>
      <c r="AE237" s="114">
        <v>0.2076615205831864</v>
      </c>
      <c r="AF237" s="382">
        <v>4.5398863297923127</v>
      </c>
      <c r="AG237" s="163">
        <v>1.4922926490330442E-2</v>
      </c>
      <c r="AH237" s="436">
        <v>4.5466755776792951</v>
      </c>
      <c r="AI237" s="434">
        <v>1.476796057614994E-2</v>
      </c>
      <c r="AJ237" s="21">
        <v>0</v>
      </c>
      <c r="AL237" s="21">
        <v>0</v>
      </c>
    </row>
    <row r="238" spans="1:38" s="21" customFormat="1" x14ac:dyDescent="0.15">
      <c r="A238" s="113" t="s">
        <v>816</v>
      </c>
      <c r="B238" s="324">
        <v>20334.591264972987</v>
      </c>
      <c r="C238" s="114">
        <v>0.10879782021283077</v>
      </c>
      <c r="D238" s="114">
        <v>34034.614358009327</v>
      </c>
      <c r="E238" s="114">
        <v>6.6183839903117658E-2</v>
      </c>
      <c r="F238" s="114">
        <v>7973.761252841553</v>
      </c>
      <c r="G238" s="114">
        <v>0.91583304587777403</v>
      </c>
      <c r="H238" s="114">
        <v>7973.761252841553</v>
      </c>
      <c r="I238" s="114">
        <v>0.91583304587777403</v>
      </c>
      <c r="J238" s="114">
        <v>71597.084408257026</v>
      </c>
      <c r="K238" s="114">
        <v>5.7361614049083617E-2</v>
      </c>
      <c r="L238" s="114">
        <v>3493.5268344471842</v>
      </c>
      <c r="M238" s="114"/>
      <c r="N238" s="163">
        <v>2.1036549336251893</v>
      </c>
      <c r="O238" s="163">
        <v>1.9507326232656665</v>
      </c>
      <c r="P238" s="324">
        <v>3758.8407035574878</v>
      </c>
      <c r="Q238" s="114">
        <v>5.5951411091718626</v>
      </c>
      <c r="R238" s="114">
        <v>2168067.9734192044</v>
      </c>
      <c r="S238" s="114">
        <v>0.17443602823017612</v>
      </c>
      <c r="T238" s="114">
        <v>2995.192501069816</v>
      </c>
      <c r="U238" s="114">
        <v>20.535725936042294</v>
      </c>
      <c r="V238" s="114">
        <v>3409.6098639711863</v>
      </c>
      <c r="W238" s="114">
        <v>8.6136218628292838</v>
      </c>
      <c r="X238" s="114">
        <v>9764527.742119221</v>
      </c>
      <c r="Y238" s="114">
        <v>0.17491388721078305</v>
      </c>
      <c r="Z238" s="114">
        <v>3463.8523940177024</v>
      </c>
      <c r="AA238" s="114">
        <v>8.9908847709474209</v>
      </c>
      <c r="AB238" s="114">
        <v>2130623.7491972218</v>
      </c>
      <c r="AC238" s="114">
        <v>0.17757827145721666</v>
      </c>
      <c r="AD238" s="114">
        <v>9689466.8053169474</v>
      </c>
      <c r="AE238" s="114">
        <v>0.17643878703359542</v>
      </c>
      <c r="AF238" s="382">
        <v>4.5403556490538302</v>
      </c>
      <c r="AG238" s="163">
        <v>1.0844419677134823E-2</v>
      </c>
      <c r="AH238" s="436">
        <v>4.5477264461959734</v>
      </c>
      <c r="AI238" s="434">
        <v>1.7545629678374659E-2</v>
      </c>
      <c r="AJ238" s="21">
        <v>0</v>
      </c>
      <c r="AL238" s="21">
        <v>0</v>
      </c>
    </row>
    <row r="239" spans="1:38" s="21" customFormat="1" x14ac:dyDescent="0.15">
      <c r="A239" s="113" t="s">
        <v>817</v>
      </c>
      <c r="B239" s="324">
        <v>20253.405359428238</v>
      </c>
      <c r="C239" s="114">
        <v>0.12171320028880278</v>
      </c>
      <c r="D239" s="114">
        <v>33942.979119763106</v>
      </c>
      <c r="E239" s="114">
        <v>7.3631286755491701E-2</v>
      </c>
      <c r="F239" s="114">
        <v>7810.3827447159019</v>
      </c>
      <c r="G239" s="114">
        <v>0.85434863003342087</v>
      </c>
      <c r="H239" s="114">
        <v>7810.3827447159019</v>
      </c>
      <c r="I239" s="114">
        <v>0.85434863003342087</v>
      </c>
      <c r="J239" s="114">
        <v>72633.46547741197</v>
      </c>
      <c r="K239" s="114">
        <v>4.5512985666588263E-2</v>
      </c>
      <c r="L239" s="114">
        <v>2890.5887264458888</v>
      </c>
      <c r="M239" s="114"/>
      <c r="N239" s="163">
        <v>2.1398671348538629</v>
      </c>
      <c r="O239" s="163">
        <v>1.9784204591876091</v>
      </c>
      <c r="P239" s="324">
        <v>3387.395406106888</v>
      </c>
      <c r="Q239" s="114">
        <v>5.8905404348290755</v>
      </c>
      <c r="R239" s="114">
        <v>2218846.5870480882</v>
      </c>
      <c r="S239" s="114">
        <v>0.24850653146664872</v>
      </c>
      <c r="T239" s="114">
        <v>2049.5454140814081</v>
      </c>
      <c r="U239" s="114">
        <v>29.594672202733609</v>
      </c>
      <c r="V239" s="114">
        <v>2775.5711728623569</v>
      </c>
      <c r="W239" s="114">
        <v>10.216946095056629</v>
      </c>
      <c r="X239" s="114">
        <v>9997187.7911429182</v>
      </c>
      <c r="Y239" s="114">
        <v>0.24823651524363879</v>
      </c>
      <c r="Z239" s="114">
        <v>3282.2044135863912</v>
      </c>
      <c r="AA239" s="114">
        <v>7.2190608236098139</v>
      </c>
      <c r="AB239" s="114">
        <v>2182128.0367554631</v>
      </c>
      <c r="AC239" s="114">
        <v>0.25147716099109263</v>
      </c>
      <c r="AD239" s="114">
        <v>9921272.1212519147</v>
      </c>
      <c r="AE239" s="114">
        <v>0.2502530217583806</v>
      </c>
      <c r="AF239" s="382">
        <v>4.5418496508449211</v>
      </c>
      <c r="AG239" s="163">
        <v>1.1344624880190377E-2</v>
      </c>
      <c r="AH239" s="436">
        <v>4.5466182085254827</v>
      </c>
      <c r="AI239" s="434">
        <v>1.5684949411241933E-2</v>
      </c>
      <c r="AJ239" s="21">
        <v>0</v>
      </c>
      <c r="AL239" s="21">
        <v>0</v>
      </c>
    </row>
    <row r="240" spans="1:38" s="21" customFormat="1" x14ac:dyDescent="0.15">
      <c r="A240" s="113" t="s">
        <v>818</v>
      </c>
      <c r="B240" s="324">
        <v>20164.944638258356</v>
      </c>
      <c r="C240" s="114">
        <v>0.12038990673703628</v>
      </c>
      <c r="D240" s="114">
        <v>33865.554916441535</v>
      </c>
      <c r="E240" s="114">
        <v>6.874883283767437E-2</v>
      </c>
      <c r="F240" s="114">
        <v>9306.5378540739021</v>
      </c>
      <c r="G240" s="114">
        <v>0.74891916377804313</v>
      </c>
      <c r="H240" s="114">
        <v>9306.5378540739021</v>
      </c>
      <c r="I240" s="114">
        <v>0.74891916377804313</v>
      </c>
      <c r="J240" s="114">
        <v>72580.949796602377</v>
      </c>
      <c r="K240" s="114">
        <v>5.2121581733750415E-2</v>
      </c>
      <c r="L240" s="114">
        <v>3089.8651728474356</v>
      </c>
      <c r="M240" s="114"/>
      <c r="N240" s="163">
        <v>2.1432086370852508</v>
      </c>
      <c r="O240" s="163">
        <v>1.9835211597583426</v>
      </c>
      <c r="P240" s="324">
        <v>3422.3254823231737</v>
      </c>
      <c r="Q240" s="114">
        <v>5.4177059191139261</v>
      </c>
      <c r="R240" s="114">
        <v>2270634.7246887162</v>
      </c>
      <c r="S240" s="114">
        <v>0.27834331103903776</v>
      </c>
      <c r="T240" s="114">
        <v>2754.3515884826493</v>
      </c>
      <c r="U240" s="114">
        <v>19.927041280707488</v>
      </c>
      <c r="V240" s="114">
        <v>3116.8483228042619</v>
      </c>
      <c r="W240" s="114">
        <v>8.7971912296089112</v>
      </c>
      <c r="X240" s="114">
        <v>10230665.806570768</v>
      </c>
      <c r="Y240" s="114">
        <v>0.28300328789202917</v>
      </c>
      <c r="Z240" s="114">
        <v>2980.6665243589628</v>
      </c>
      <c r="AA240" s="114">
        <v>5.7794440586623761</v>
      </c>
      <c r="AB240" s="114">
        <v>2233652.3214494707</v>
      </c>
      <c r="AC240" s="114">
        <v>0.28307757289030522</v>
      </c>
      <c r="AD240" s="114">
        <v>10155104.190249804</v>
      </c>
      <c r="AE240" s="114">
        <v>0.2847527773790961</v>
      </c>
      <c r="AF240" s="382">
        <v>4.5394102159343799</v>
      </c>
      <c r="AG240" s="163">
        <v>1.2131360420335366E-2</v>
      </c>
      <c r="AH240" s="436">
        <v>4.5464007234344876</v>
      </c>
      <c r="AI240" s="434">
        <v>1.7552691247255506E-2</v>
      </c>
      <c r="AJ240" s="21">
        <v>0</v>
      </c>
      <c r="AL240" s="21">
        <v>0</v>
      </c>
    </row>
    <row r="241" spans="1:38" s="21" customFormat="1" x14ac:dyDescent="0.15">
      <c r="A241" s="113" t="s">
        <v>819</v>
      </c>
      <c r="B241" s="324">
        <v>20248.693487628931</v>
      </c>
      <c r="C241" s="114">
        <v>0.1274553001433788</v>
      </c>
      <c r="D241" s="114">
        <v>33737.877776458758</v>
      </c>
      <c r="E241" s="114">
        <v>5.4399599062820436E-2</v>
      </c>
      <c r="F241" s="114">
        <v>9402.7307464523019</v>
      </c>
      <c r="G241" s="114">
        <v>0.87414896791126195</v>
      </c>
      <c r="H241" s="114">
        <v>9402.7307464523019</v>
      </c>
      <c r="I241" s="114">
        <v>0.87414896791126195</v>
      </c>
      <c r="J241" s="114">
        <v>71721.21313261491</v>
      </c>
      <c r="K241" s="114">
        <v>4.844998124197511E-2</v>
      </c>
      <c r="L241" s="114">
        <v>2717.7167044832531</v>
      </c>
      <c r="M241" s="114"/>
      <c r="N241" s="163">
        <v>2.1258365332824742</v>
      </c>
      <c r="O241" s="163">
        <v>1.9500639144783769</v>
      </c>
      <c r="P241" s="324">
        <v>3388.5914970594836</v>
      </c>
      <c r="Q241" s="114">
        <v>5.5342096261841043</v>
      </c>
      <c r="R241" s="114">
        <v>2158162.7335757092</v>
      </c>
      <c r="S241" s="114">
        <v>0.31183843583385057</v>
      </c>
      <c r="T241" s="114">
        <v>1775.9505846548491</v>
      </c>
      <c r="U241" s="114">
        <v>31.883520127099477</v>
      </c>
      <c r="V241" s="114">
        <v>2651.1001522810188</v>
      </c>
      <c r="W241" s="114">
        <v>10.730526283504856</v>
      </c>
      <c r="X241" s="114">
        <v>9724334.8957146704</v>
      </c>
      <c r="Y241" s="114">
        <v>0.31788370186451692</v>
      </c>
      <c r="Z241" s="114">
        <v>2590.8562427889365</v>
      </c>
      <c r="AA241" s="114">
        <v>9.4977526591534787</v>
      </c>
      <c r="AB241" s="114">
        <v>2121773.7556469697</v>
      </c>
      <c r="AC241" s="114">
        <v>0.31959035794973478</v>
      </c>
      <c r="AD241" s="114">
        <v>9650022.8263392653</v>
      </c>
      <c r="AE241" s="114">
        <v>0.32042909283366533</v>
      </c>
      <c r="AF241" s="382">
        <v>4.5423278642459231</v>
      </c>
      <c r="AG241" s="163">
        <v>1.4960649677604226E-2</v>
      </c>
      <c r="AH241" s="436">
        <v>4.5480885775941866</v>
      </c>
      <c r="AI241" s="434">
        <v>1.4897339197972358E-2</v>
      </c>
      <c r="AJ241" s="21">
        <v>0</v>
      </c>
      <c r="AL241" s="21">
        <v>0</v>
      </c>
    </row>
    <row r="242" spans="1:38" s="21" customFormat="1" x14ac:dyDescent="0.15">
      <c r="A242" s="113" t="s">
        <v>820</v>
      </c>
      <c r="B242" s="324">
        <v>20024.690637825559</v>
      </c>
      <c r="C242" s="114">
        <v>0.12889068885042068</v>
      </c>
      <c r="D242" s="114">
        <v>33546.189107545637</v>
      </c>
      <c r="E242" s="114">
        <v>6.548147668682705E-2</v>
      </c>
      <c r="F242" s="114">
        <v>9761.6533652471044</v>
      </c>
      <c r="G242" s="114">
        <v>0.76757831456512227</v>
      </c>
      <c r="H242" s="114">
        <v>9761.6533652471044</v>
      </c>
      <c r="I242" s="114">
        <v>0.76757831456512227</v>
      </c>
      <c r="J242" s="114">
        <v>71248.785098919994</v>
      </c>
      <c r="K242" s="114">
        <v>6.0137268205031978E-2</v>
      </c>
      <c r="L242" s="114">
        <v>2917.7138161161533</v>
      </c>
      <c r="M242" s="114"/>
      <c r="N242" s="163">
        <v>2.1239010151198907</v>
      </c>
      <c r="O242" s="163">
        <v>1.9232473804980865</v>
      </c>
      <c r="P242" s="324">
        <v>4046.0101598293741</v>
      </c>
      <c r="Q242" s="114">
        <v>4.7923714316998893</v>
      </c>
      <c r="R242" s="114">
        <v>1988245.1133615081</v>
      </c>
      <c r="S242" s="114">
        <v>0.45582386729553642</v>
      </c>
      <c r="T242" s="114">
        <v>522.82327890756278</v>
      </c>
      <c r="U242" s="114">
        <v>90.878788744403082</v>
      </c>
      <c r="V242" s="114">
        <v>2434.7898250789208</v>
      </c>
      <c r="W242" s="114">
        <v>10.258573537683558</v>
      </c>
      <c r="X242" s="114">
        <v>8944169.2037755977</v>
      </c>
      <c r="Y242" s="114">
        <v>0.46067708587678857</v>
      </c>
      <c r="Z242" s="114">
        <v>2589.6157879648113</v>
      </c>
      <c r="AA242" s="114">
        <v>7.8689409091747757</v>
      </c>
      <c r="AB242" s="114">
        <v>1952264.1344288841</v>
      </c>
      <c r="AC242" s="114">
        <v>0.46605850611008254</v>
      </c>
      <c r="AD242" s="114">
        <v>8870330.8028887101</v>
      </c>
      <c r="AE242" s="114">
        <v>0.46505052055828899</v>
      </c>
      <c r="AF242" s="382">
        <v>4.5388582689935273</v>
      </c>
      <c r="AG242" s="163">
        <v>1.1573130395806045E-2</v>
      </c>
      <c r="AH242" s="436">
        <v>4.5436317719112438</v>
      </c>
      <c r="AI242" s="434">
        <v>1.7179996031345301E-2</v>
      </c>
      <c r="AJ242" s="21">
        <v>0</v>
      </c>
      <c r="AL242" s="21">
        <v>0</v>
      </c>
    </row>
    <row r="243" spans="1:38" s="21" customFormat="1" x14ac:dyDescent="0.15">
      <c r="A243" s="113" t="s">
        <v>821</v>
      </c>
      <c r="B243" s="324">
        <v>19977.058206413301</v>
      </c>
      <c r="C243" s="114">
        <v>0.11374112603210905</v>
      </c>
      <c r="D243" s="114">
        <v>33467.552647462915</v>
      </c>
      <c r="E243" s="114">
        <v>7.5957423522973203E-2</v>
      </c>
      <c r="F243" s="114">
        <v>8614.8643090854275</v>
      </c>
      <c r="G243" s="114">
        <v>0.80406754109765211</v>
      </c>
      <c r="H243" s="114">
        <v>8614.8643090854275</v>
      </c>
      <c r="I243" s="114">
        <v>0.80406754109765211</v>
      </c>
      <c r="J243" s="114">
        <v>71865.4332147596</v>
      </c>
      <c r="K243" s="114">
        <v>4.6567910428907941E-2</v>
      </c>
      <c r="L243" s="114">
        <v>3388.8668894065377</v>
      </c>
      <c r="M243" s="114"/>
      <c r="N243" s="163">
        <v>2.1473166553816574</v>
      </c>
      <c r="O243" s="163">
        <v>1.9959375318132593</v>
      </c>
      <c r="P243" s="324">
        <v>3523.7649153384345</v>
      </c>
      <c r="Q243" s="114">
        <v>4.3559179149497815</v>
      </c>
      <c r="R243" s="114">
        <v>2089165.4955554763</v>
      </c>
      <c r="S243" s="114">
        <v>9.5728598295395539E-2</v>
      </c>
      <c r="T243" s="114">
        <v>3419.4249208249371</v>
      </c>
      <c r="U243" s="114">
        <v>17.115331892360974</v>
      </c>
      <c r="V243" s="114">
        <v>3476.0482523938022</v>
      </c>
      <c r="W243" s="114">
        <v>8.2785975004063665</v>
      </c>
      <c r="X243" s="114">
        <v>9406815.2712136805</v>
      </c>
      <c r="Y243" s="114">
        <v>0.10037408555731353</v>
      </c>
      <c r="Z243" s="114">
        <v>2615.1579121852628</v>
      </c>
      <c r="AA243" s="114">
        <v>10.765536318560134</v>
      </c>
      <c r="AB243" s="114">
        <v>2052221.8946556209</v>
      </c>
      <c r="AC243" s="114">
        <v>9.6886599976629004E-2</v>
      </c>
      <c r="AD243" s="114">
        <v>9332334.6800867338</v>
      </c>
      <c r="AE243" s="114">
        <v>0.10096215305575644</v>
      </c>
      <c r="AF243" s="382">
        <v>4.5400821191701493</v>
      </c>
      <c r="AG243" s="163">
        <v>9.8950407643818399E-3</v>
      </c>
      <c r="AH243" s="436">
        <v>4.547420110531303</v>
      </c>
      <c r="AI243" s="434">
        <v>1.5540240908110403E-2</v>
      </c>
      <c r="AJ243" s="21">
        <v>0</v>
      </c>
      <c r="AL243" s="21">
        <v>0</v>
      </c>
    </row>
    <row r="244" spans="1:38" s="21" customFormat="1" x14ac:dyDescent="0.15">
      <c r="A244" s="113" t="s">
        <v>822</v>
      </c>
      <c r="B244" s="324">
        <v>19856.451364792792</v>
      </c>
      <c r="C244" s="114">
        <v>0.1342070609303293</v>
      </c>
      <c r="D244" s="114">
        <v>33537.34913083056</v>
      </c>
      <c r="E244" s="114">
        <v>5.7028439219939518E-2</v>
      </c>
      <c r="F244" s="114">
        <v>7101.7884438612191</v>
      </c>
      <c r="G244" s="114">
        <v>0.98674116980918614</v>
      </c>
      <c r="H244" s="114">
        <v>7101.7884438612191</v>
      </c>
      <c r="I244" s="114">
        <v>0.98674116980918614</v>
      </c>
      <c r="J244" s="114">
        <v>71807.628577396812</v>
      </c>
      <c r="K244" s="114">
        <v>6.7298637477093276E-2</v>
      </c>
      <c r="L244" s="114">
        <v>3422.3268261246062</v>
      </c>
      <c r="M244" s="114"/>
      <c r="N244" s="163">
        <v>2.1411241627140041</v>
      </c>
      <c r="O244" s="163">
        <v>2.0231982665968267</v>
      </c>
      <c r="P244" s="324">
        <v>3422.8357696233943</v>
      </c>
      <c r="Q244" s="114">
        <v>4.9130487976328254</v>
      </c>
      <c r="R244" s="114">
        <v>2157041.2912730733</v>
      </c>
      <c r="S244" s="114">
        <v>0.43008974280896545</v>
      </c>
      <c r="T244" s="114">
        <v>4112.7320409148115</v>
      </c>
      <c r="U244" s="114">
        <v>13.6283792767777</v>
      </c>
      <c r="V244" s="114">
        <v>3738.3384490845574</v>
      </c>
      <c r="W244" s="114">
        <v>7.3870805237870147</v>
      </c>
      <c r="X244" s="114">
        <v>9714055.5501146968</v>
      </c>
      <c r="Y244" s="114">
        <v>0.4322800150492096</v>
      </c>
      <c r="Z244" s="114">
        <v>2698.2873535101962</v>
      </c>
      <c r="AA244" s="114">
        <v>9.0117676213020701</v>
      </c>
      <c r="AB244" s="114">
        <v>2119765.6036931593</v>
      </c>
      <c r="AC244" s="114">
        <v>0.43791478512966481</v>
      </c>
      <c r="AD244" s="114">
        <v>9639549.6341837961</v>
      </c>
      <c r="AE244" s="114">
        <v>0.43497866121181716</v>
      </c>
      <c r="AF244" s="382">
        <v>4.5391705253056767</v>
      </c>
      <c r="AG244" s="163">
        <v>1.030422300383183E-2</v>
      </c>
      <c r="AH244" s="436">
        <v>4.5475057879746457</v>
      </c>
      <c r="AI244" s="434">
        <v>1.3443716855865664E-2</v>
      </c>
      <c r="AJ244" s="21">
        <v>0</v>
      </c>
      <c r="AL244" s="21">
        <v>0</v>
      </c>
    </row>
    <row r="245" spans="1:38" s="21" customFormat="1" x14ac:dyDescent="0.15">
      <c r="A245" s="113" t="s">
        <v>823</v>
      </c>
      <c r="B245" s="324">
        <v>19797.240208321615</v>
      </c>
      <c r="C245" s="114">
        <v>0.10901597943828763</v>
      </c>
      <c r="D245" s="114">
        <v>33375.370728682545</v>
      </c>
      <c r="E245" s="114">
        <v>6.1723607410843803E-2</v>
      </c>
      <c r="F245" s="114">
        <v>9059.297803180285</v>
      </c>
      <c r="G245" s="114">
        <v>0.79523140547793136</v>
      </c>
      <c r="H245" s="114">
        <v>9059.297803180285</v>
      </c>
      <c r="I245" s="114">
        <v>0.79523140547793136</v>
      </c>
      <c r="J245" s="114">
        <v>72297.74516673747</v>
      </c>
      <c r="K245" s="114">
        <v>5.289642930757793E-2</v>
      </c>
      <c r="L245" s="114">
        <v>2297.8620784973664</v>
      </c>
      <c r="M245" s="114"/>
      <c r="N245" s="163">
        <v>2.1662005121820362</v>
      </c>
      <c r="O245" s="163">
        <v>1.9559762587662286</v>
      </c>
      <c r="P245" s="324">
        <v>3475.7214048713427</v>
      </c>
      <c r="Q245" s="114">
        <v>5.1213975961438116</v>
      </c>
      <c r="R245" s="114">
        <v>2019636.5110130305</v>
      </c>
      <c r="S245" s="114">
        <v>0.44475668494370374</v>
      </c>
      <c r="T245" s="114">
        <v>834.92537691317932</v>
      </c>
      <c r="U245" s="114">
        <v>63.320434893654742</v>
      </c>
      <c r="V245" s="114">
        <v>2268.0351810110983</v>
      </c>
      <c r="W245" s="114">
        <v>11.491630903533805</v>
      </c>
      <c r="X245" s="114">
        <v>9090490.6220663097</v>
      </c>
      <c r="Y245" s="114">
        <v>0.44933615757978307</v>
      </c>
      <c r="Z245" s="114">
        <v>3000.7557782261465</v>
      </c>
      <c r="AA245" s="114">
        <v>9.6162034399208984</v>
      </c>
      <c r="AB245" s="114">
        <v>1983993.1051033363</v>
      </c>
      <c r="AC245" s="114">
        <v>0.4516717080119001</v>
      </c>
      <c r="AD245" s="114">
        <v>9015192.1211213525</v>
      </c>
      <c r="AE245" s="114">
        <v>0.45339284539871955</v>
      </c>
      <c r="AF245" s="382">
        <v>4.5392381163016129</v>
      </c>
      <c r="AG245" s="163">
        <v>1.2453341120660462E-2</v>
      </c>
      <c r="AH245" s="436">
        <v>4.5439399587342777</v>
      </c>
      <c r="AI245" s="434">
        <v>1.5554877650963054E-2</v>
      </c>
      <c r="AJ245" s="21">
        <v>0</v>
      </c>
      <c r="AL245" s="21">
        <v>0</v>
      </c>
    </row>
    <row r="246" spans="1:38" s="21" customFormat="1" x14ac:dyDescent="0.15">
      <c r="A246" s="113" t="s">
        <v>824</v>
      </c>
      <c r="B246" s="324">
        <v>19807.894103138628</v>
      </c>
      <c r="C246" s="114">
        <v>0.12260694850863839</v>
      </c>
      <c r="D246" s="114">
        <v>33439.820784699841</v>
      </c>
      <c r="E246" s="114">
        <v>5.7300053251437041E-2</v>
      </c>
      <c r="F246" s="114">
        <v>8197.8528152440085</v>
      </c>
      <c r="G246" s="114">
        <v>0.88899648889877902</v>
      </c>
      <c r="H246" s="114">
        <v>8197.8528152440085</v>
      </c>
      <c r="I246" s="114">
        <v>0.88899648889877902</v>
      </c>
      <c r="J246" s="114">
        <v>71561.723048273299</v>
      </c>
      <c r="K246" s="114">
        <v>5.4136280523446281E-2</v>
      </c>
      <c r="L246" s="114">
        <v>3041.1637795159554</v>
      </c>
      <c r="M246" s="114"/>
      <c r="N246" s="163">
        <v>2.1400151486761518</v>
      </c>
      <c r="O246" s="163">
        <v>1.9785651537997815</v>
      </c>
      <c r="P246" s="324">
        <v>3225.1601922885943</v>
      </c>
      <c r="Q246" s="114">
        <v>6.0188339036862297</v>
      </c>
      <c r="R246" s="114">
        <v>2178744.1547637386</v>
      </c>
      <c r="S246" s="114">
        <v>0.33559150299401114</v>
      </c>
      <c r="T246" s="114">
        <v>2833.7215261721885</v>
      </c>
      <c r="U246" s="114">
        <v>19.943949584108992</v>
      </c>
      <c r="V246" s="114">
        <v>3046.1478492109181</v>
      </c>
      <c r="W246" s="114">
        <v>9.0748547300078783</v>
      </c>
      <c r="X246" s="114">
        <v>9805133.5951342657</v>
      </c>
      <c r="Y246" s="114">
        <v>0.33728695493419697</v>
      </c>
      <c r="Z246" s="114">
        <v>3205.637498998195</v>
      </c>
      <c r="AA246" s="114">
        <v>6.7096005852954912</v>
      </c>
      <c r="AB246" s="114">
        <v>2142258.186129828</v>
      </c>
      <c r="AC246" s="114">
        <v>0.34156197839131563</v>
      </c>
      <c r="AD246" s="114">
        <v>9730366.2345869895</v>
      </c>
      <c r="AE246" s="114">
        <v>0.34025422613889811</v>
      </c>
      <c r="AF246" s="382">
        <v>4.535715405555429</v>
      </c>
      <c r="AG246" s="163">
        <v>9.9230148812415597E-3</v>
      </c>
      <c r="AH246" s="436">
        <v>4.5421264589296833</v>
      </c>
      <c r="AI246" s="434">
        <v>1.5099611212006763E-2</v>
      </c>
      <c r="AJ246" s="21">
        <v>0</v>
      </c>
      <c r="AL246" s="21">
        <v>0</v>
      </c>
    </row>
    <row r="247" spans="1:38" s="21" customFormat="1" x14ac:dyDescent="0.15">
      <c r="A247" s="113" t="s">
        <v>825</v>
      </c>
      <c r="B247" s="324">
        <v>19985.414274658131</v>
      </c>
      <c r="C247" s="114">
        <v>0.13518390206591049</v>
      </c>
      <c r="D247" s="114">
        <v>33272.914247300701</v>
      </c>
      <c r="E247" s="114">
        <v>7.0399726678855454E-2</v>
      </c>
      <c r="F247" s="114">
        <v>8845.2000613226373</v>
      </c>
      <c r="G247" s="114">
        <v>0.79354688512248872</v>
      </c>
      <c r="H247" s="114">
        <v>8845.2000613226373</v>
      </c>
      <c r="I247" s="114">
        <v>0.79354688512248872</v>
      </c>
      <c r="J247" s="114">
        <v>71586.60652046169</v>
      </c>
      <c r="K247" s="114">
        <v>5.5878038125155668E-2</v>
      </c>
      <c r="L247" s="114">
        <v>2869.4252855271257</v>
      </c>
      <c r="M247" s="114"/>
      <c r="N247" s="163">
        <v>2.1514979417911739</v>
      </c>
      <c r="O247" s="163">
        <v>1.9582598918249332</v>
      </c>
      <c r="P247" s="324">
        <v>3329.8364940224542</v>
      </c>
      <c r="Q247" s="114">
        <v>5.0598263769597533</v>
      </c>
      <c r="R247" s="114">
        <v>2875373.7102145841</v>
      </c>
      <c r="S247" s="114">
        <v>0.81016591592992182</v>
      </c>
      <c r="T247" s="114">
        <v>2496.5091427401985</v>
      </c>
      <c r="U247" s="114">
        <v>18.550426975319002</v>
      </c>
      <c r="V247" s="114">
        <v>2948.7400551249511</v>
      </c>
      <c r="W247" s="114">
        <v>7.6826613717867662</v>
      </c>
      <c r="X247" s="114">
        <v>13188529.82642513</v>
      </c>
      <c r="Y247" s="114">
        <v>0.81696277144757234</v>
      </c>
      <c r="Z247" s="114">
        <v>1878.1457888965547</v>
      </c>
      <c r="AA247" s="114">
        <v>12.903885397835836</v>
      </c>
      <c r="AB247" s="114">
        <v>2839152.055912158</v>
      </c>
      <c r="AC247" s="114">
        <v>0.82150901593666392</v>
      </c>
      <c r="AD247" s="114">
        <v>13115065.074115768</v>
      </c>
      <c r="AE247" s="114">
        <v>0.82153226529817469</v>
      </c>
      <c r="AF247" s="382">
        <v>4.6142303268359051</v>
      </c>
      <c r="AG247" s="163">
        <v>1.1154759655988956E-2</v>
      </c>
      <c r="AH247" s="436">
        <v>4.6193555999430265</v>
      </c>
      <c r="AI247" s="434">
        <v>1.2451388177516256E-2</v>
      </c>
      <c r="AJ247" s="21">
        <v>0</v>
      </c>
      <c r="AL247" s="21">
        <v>0</v>
      </c>
    </row>
    <row r="248" spans="1:38" s="21" customFormat="1" x14ac:dyDescent="0.15">
      <c r="A248" s="113" t="s">
        <v>826</v>
      </c>
      <c r="B248" s="324">
        <v>19751.009968117571</v>
      </c>
      <c r="C248" s="114">
        <v>0.14152350745013068</v>
      </c>
      <c r="D248" s="114">
        <v>33136.530763091025</v>
      </c>
      <c r="E248" s="114">
        <v>5.9514522165558928E-2</v>
      </c>
      <c r="F248" s="114">
        <v>9108.7448299971911</v>
      </c>
      <c r="G248" s="114">
        <v>0.95191025078616842</v>
      </c>
      <c r="H248" s="114">
        <v>9108.7448299971911</v>
      </c>
      <c r="I248" s="114">
        <v>0.95191025078616842</v>
      </c>
      <c r="J248" s="114">
        <v>71084.991863545612</v>
      </c>
      <c r="K248" s="114">
        <v>5.939173573464121E-2</v>
      </c>
      <c r="L248" s="114">
        <v>2916.8475684658188</v>
      </c>
      <c r="M248" s="114"/>
      <c r="N248" s="163">
        <v>2.1452152722856344</v>
      </c>
      <c r="O248" s="163">
        <v>1.9730143796745525</v>
      </c>
      <c r="P248" s="324">
        <v>3578.5867062533403</v>
      </c>
      <c r="Q248" s="114">
        <v>5.2818285148740696</v>
      </c>
      <c r="R248" s="114">
        <v>2473948.9155760845</v>
      </c>
      <c r="S248" s="114">
        <v>0.95111727849245431</v>
      </c>
      <c r="T248" s="114">
        <v>2753.7825174369445</v>
      </c>
      <c r="U248" s="114">
        <v>19.777828994636302</v>
      </c>
      <c r="V248" s="114">
        <v>3201.3880715727341</v>
      </c>
      <c r="W248" s="114">
        <v>8.2187453580519616</v>
      </c>
      <c r="X248" s="114">
        <v>11338887.48776613</v>
      </c>
      <c r="Y248" s="114">
        <v>0.95951857284961461</v>
      </c>
      <c r="Z248" s="114">
        <v>2831.5708382469361</v>
      </c>
      <c r="AA248" s="114">
        <v>8.5231201831401258</v>
      </c>
      <c r="AB248" s="114">
        <v>2437610.9967414211</v>
      </c>
      <c r="AC248" s="114">
        <v>0.96368887220152832</v>
      </c>
      <c r="AD248" s="114">
        <v>11264970.92506434</v>
      </c>
      <c r="AE248" s="114">
        <v>0.96576485345734453</v>
      </c>
      <c r="AF248" s="382">
        <v>4.6150575911080374</v>
      </c>
      <c r="AG248" s="163">
        <v>9.6804646623471664E-3</v>
      </c>
      <c r="AH248" s="436">
        <v>4.6212574078429602</v>
      </c>
      <c r="AI248" s="434">
        <v>1.0624945207780684E-2</v>
      </c>
      <c r="AJ248" s="21">
        <v>0</v>
      </c>
      <c r="AL248" s="21">
        <v>0</v>
      </c>
    </row>
    <row r="249" spans="1:38" s="21" customFormat="1" x14ac:dyDescent="0.15">
      <c r="A249" s="113" t="s">
        <v>827</v>
      </c>
      <c r="B249" s="324">
        <v>19832.157721084783</v>
      </c>
      <c r="C249" s="114">
        <v>0.1321170282607082</v>
      </c>
      <c r="D249" s="114">
        <v>33242.964085961255</v>
      </c>
      <c r="E249" s="114">
        <v>6.4547906528152454E-2</v>
      </c>
      <c r="F249" s="114">
        <v>9153.360579702683</v>
      </c>
      <c r="G249" s="114">
        <v>0.94424683281667032</v>
      </c>
      <c r="H249" s="114">
        <v>9153.360579702683</v>
      </c>
      <c r="I249" s="114">
        <v>0.94424683281667032</v>
      </c>
      <c r="J249" s="114">
        <v>71342.707425478773</v>
      </c>
      <c r="K249" s="114">
        <v>4.5640512295077068E-2</v>
      </c>
      <c r="L249" s="114">
        <v>2368.830284970591</v>
      </c>
      <c r="M249" s="114"/>
      <c r="N249" s="163">
        <v>2.1460994645663174</v>
      </c>
      <c r="O249" s="163">
        <v>1.9449375767268795</v>
      </c>
      <c r="P249" s="324">
        <v>3330.6152749246494</v>
      </c>
      <c r="Q249" s="114">
        <v>4.8100786891601803</v>
      </c>
      <c r="R249" s="114">
        <v>2766111.0239996552</v>
      </c>
      <c r="S249" s="114">
        <v>0.41379765982982053</v>
      </c>
      <c r="T249" s="114">
        <v>413.84844756258354</v>
      </c>
      <c r="U249" s="114">
        <v>123.38816698500214</v>
      </c>
      <c r="V249" s="114">
        <v>1996.7223584235169</v>
      </c>
      <c r="W249" s="114">
        <v>12.644987953924913</v>
      </c>
      <c r="X249" s="114">
        <v>12685921.037526717</v>
      </c>
      <c r="Y249" s="114">
        <v>0.41664712045756819</v>
      </c>
      <c r="Z249" s="114">
        <v>3005.44280453692</v>
      </c>
      <c r="AA249" s="114">
        <v>8.9547850372674613</v>
      </c>
      <c r="AB249" s="114">
        <v>2730871.3375552697</v>
      </c>
      <c r="AC249" s="114">
        <v>0.41948815958456925</v>
      </c>
      <c r="AD249" s="114">
        <v>12611572.887296701</v>
      </c>
      <c r="AE249" s="114">
        <v>0.41877981840101103</v>
      </c>
      <c r="AF249" s="382">
        <v>4.6148821910409854</v>
      </c>
      <c r="AG249" s="163">
        <v>9.708869975451442E-3</v>
      </c>
      <c r="AH249" s="436">
        <v>4.6181611463076742</v>
      </c>
      <c r="AI249" s="434">
        <v>1.1576630744986719E-2</v>
      </c>
      <c r="AJ249" s="21">
        <v>0</v>
      </c>
      <c r="AL249" s="21">
        <v>0</v>
      </c>
    </row>
    <row r="250" spans="1:38" s="21" customFormat="1" x14ac:dyDescent="0.15">
      <c r="A250" s="113" t="s">
        <v>828</v>
      </c>
      <c r="B250" s="324">
        <v>19629.390493307248</v>
      </c>
      <c r="C250" s="114">
        <v>0.13260193635577397</v>
      </c>
      <c r="D250" s="114">
        <v>32200.252748008534</v>
      </c>
      <c r="E250" s="114">
        <v>7.3890405046264443E-2</v>
      </c>
      <c r="F250" s="114">
        <v>9415.7646665510038</v>
      </c>
      <c r="G250" s="114">
        <v>0.86037871502248398</v>
      </c>
      <c r="H250" s="114">
        <v>9415.7646665510038</v>
      </c>
      <c r="I250" s="114">
        <v>0.86037871502248398</v>
      </c>
      <c r="J250" s="114">
        <v>68407.178971281101</v>
      </c>
      <c r="K250" s="114">
        <v>5.9615690887269014E-2</v>
      </c>
      <c r="L250" s="114">
        <v>2779.3419994527599</v>
      </c>
      <c r="M250" s="114"/>
      <c r="N250" s="163">
        <v>2.1244298765795193</v>
      </c>
      <c r="O250" s="163">
        <v>1.942488168304163</v>
      </c>
      <c r="P250" s="324">
        <v>3767.4715271050004</v>
      </c>
      <c r="Q250" s="114">
        <v>4.3522857379010356</v>
      </c>
      <c r="R250" s="114">
        <v>2873729.1023793742</v>
      </c>
      <c r="S250" s="114">
        <v>0.36194956703343378</v>
      </c>
      <c r="T250" s="114">
        <v>2280.6119501274711</v>
      </c>
      <c r="U250" s="114">
        <v>25.751957300856809</v>
      </c>
      <c r="V250" s="114">
        <v>3087.5023780606434</v>
      </c>
      <c r="W250" s="114">
        <v>9.0838375698876046</v>
      </c>
      <c r="X250" s="114">
        <v>13186523.736778064</v>
      </c>
      <c r="Y250" s="114">
        <v>0.36175502141550459</v>
      </c>
      <c r="Z250" s="114">
        <v>2620.5493960038712</v>
      </c>
      <c r="AA250" s="114">
        <v>7.7789598173467951</v>
      </c>
      <c r="AB250" s="114">
        <v>2838441.3472533054</v>
      </c>
      <c r="AC250" s="114">
        <v>0.36443348525481517</v>
      </c>
      <c r="AD250" s="114">
        <v>13115496.008410783</v>
      </c>
      <c r="AE250" s="114">
        <v>0.36345955403920105</v>
      </c>
      <c r="AF250" s="382">
        <v>4.6155089464207038</v>
      </c>
      <c r="AG250" s="163">
        <v>9.8429189603184593E-3</v>
      </c>
      <c r="AH250" s="436">
        <v>4.6206829600293897</v>
      </c>
      <c r="AI250" s="434">
        <v>1.1347931709268537E-2</v>
      </c>
      <c r="AJ250" s="21">
        <v>0</v>
      </c>
      <c r="AL250" s="21">
        <v>0</v>
      </c>
    </row>
    <row r="251" spans="1:38" s="21" customFormat="1" x14ac:dyDescent="0.15">
      <c r="A251" s="113" t="s">
        <v>829</v>
      </c>
      <c r="B251" s="324">
        <v>19556.210119366347</v>
      </c>
      <c r="C251" s="114">
        <v>0.13899656479338579</v>
      </c>
      <c r="D251" s="114">
        <v>32371.912624635399</v>
      </c>
      <c r="E251" s="114">
        <v>7.3486252732854446E-2</v>
      </c>
      <c r="F251" s="114">
        <v>9272.1075555913922</v>
      </c>
      <c r="G251" s="114">
        <v>0.9482455946028121</v>
      </c>
      <c r="H251" s="114">
        <v>9272.1075555913922</v>
      </c>
      <c r="I251" s="114">
        <v>0.9482455946028121</v>
      </c>
      <c r="J251" s="114">
        <v>68566.10205223423</v>
      </c>
      <c r="K251" s="114">
        <v>7.0698810627236153E-2</v>
      </c>
      <c r="L251" s="114">
        <v>2762.6150606089841</v>
      </c>
      <c r="M251" s="114"/>
      <c r="N251" s="163">
        <v>2.118073863823994</v>
      </c>
      <c r="O251" s="163">
        <v>1.9331856593763481</v>
      </c>
      <c r="P251" s="324">
        <v>3969.3727170194693</v>
      </c>
      <c r="Q251" s="114">
        <v>4.6440687259130744</v>
      </c>
      <c r="R251" s="114">
        <v>2801591.0994588281</v>
      </c>
      <c r="S251" s="114">
        <v>0.29422640332375177</v>
      </c>
      <c r="T251" s="114">
        <v>1213.8200313996135</v>
      </c>
      <c r="U251" s="114">
        <v>54.598428861873046</v>
      </c>
      <c r="V251" s="114">
        <v>2709.2060921411162</v>
      </c>
      <c r="W251" s="114">
        <v>12.049607886002448</v>
      </c>
      <c r="X251" s="114">
        <v>12851452.798269389</v>
      </c>
      <c r="Y251" s="114">
        <v>0.29568295492583813</v>
      </c>
      <c r="Z251" s="114">
        <v>2091.0180049956639</v>
      </c>
      <c r="AA251" s="114">
        <v>10.223503048226553</v>
      </c>
      <c r="AB251" s="114">
        <v>2766509.9807420503</v>
      </c>
      <c r="AC251" s="114">
        <v>0.30011719453334429</v>
      </c>
      <c r="AD251" s="114">
        <v>12780795.678212155</v>
      </c>
      <c r="AE251" s="114">
        <v>0.29700479243611061</v>
      </c>
      <c r="AF251" s="382">
        <v>4.6152552462036942</v>
      </c>
      <c r="AG251" s="163">
        <v>1.007785772356022E-2</v>
      </c>
      <c r="AH251" s="436">
        <v>4.6198596066978279</v>
      </c>
      <c r="AI251" s="434">
        <v>1.255945258482858E-2</v>
      </c>
      <c r="AJ251" s="21">
        <v>0</v>
      </c>
      <c r="AL251" s="21">
        <v>0</v>
      </c>
    </row>
    <row r="252" spans="1:38" s="21" customFormat="1" x14ac:dyDescent="0.15">
      <c r="A252" s="113" t="s">
        <v>830</v>
      </c>
      <c r="B252" s="324">
        <v>19596.889498410244</v>
      </c>
      <c r="C252" s="114">
        <v>0.12209765649872353</v>
      </c>
      <c r="D252" s="114">
        <v>32702.344959467657</v>
      </c>
      <c r="E252" s="114">
        <v>7.4397355930720263E-2</v>
      </c>
      <c r="F252" s="114">
        <v>8996.2098381234518</v>
      </c>
      <c r="G252" s="114">
        <v>0.74692310688121644</v>
      </c>
      <c r="H252" s="114">
        <v>8996.2098381234518</v>
      </c>
      <c r="I252" s="114">
        <v>0.74692310688121644</v>
      </c>
      <c r="J252" s="114">
        <v>69196.956799932348</v>
      </c>
      <c r="K252" s="114">
        <v>6.0359441685270451E-2</v>
      </c>
      <c r="L252" s="114">
        <v>3059.4270445428142</v>
      </c>
      <c r="M252" s="114"/>
      <c r="N252" s="163">
        <v>2.1159631483827015</v>
      </c>
      <c r="O252" s="163">
        <v>1.9360472515039351</v>
      </c>
      <c r="P252" s="324">
        <v>3493.4380122223561</v>
      </c>
      <c r="Q252" s="114">
        <v>4.7919611724365829</v>
      </c>
      <c r="R252" s="114">
        <v>3059258.0499495021</v>
      </c>
      <c r="S252" s="114">
        <v>1.3448971819284818</v>
      </c>
      <c r="T252" s="114">
        <v>2775.6874867656029</v>
      </c>
      <c r="U252" s="114">
        <v>21.038435031020754</v>
      </c>
      <c r="V252" s="114">
        <v>3165.1970528352776</v>
      </c>
      <c r="W252" s="114">
        <v>9.0041803968504635</v>
      </c>
      <c r="X252" s="114">
        <v>14042785.094726767</v>
      </c>
      <c r="Y252" s="114">
        <v>1.3539141398851411</v>
      </c>
      <c r="Z252" s="114">
        <v>2038.742938790055</v>
      </c>
      <c r="AA252" s="114">
        <v>11.670380948549022</v>
      </c>
      <c r="AB252" s="114">
        <v>3023390.507937198</v>
      </c>
      <c r="AC252" s="114">
        <v>1.3613552971702614</v>
      </c>
      <c r="AD252" s="114">
        <v>13971549.394988034</v>
      </c>
      <c r="AE252" s="114">
        <v>1.3608070752405952</v>
      </c>
      <c r="AF252" s="382">
        <v>4.6164603854775796</v>
      </c>
      <c r="AG252" s="163">
        <v>8.688956358940134E-3</v>
      </c>
      <c r="AH252" s="436">
        <v>4.621182509029687</v>
      </c>
      <c r="AI252" s="434">
        <v>1.3350253503688164E-2</v>
      </c>
      <c r="AJ252" s="21">
        <v>0</v>
      </c>
      <c r="AL252" s="21">
        <v>0</v>
      </c>
    </row>
    <row r="253" spans="1:38" s="21" customFormat="1" x14ac:dyDescent="0.15">
      <c r="A253" s="113" t="s">
        <v>831</v>
      </c>
      <c r="B253" s="324">
        <v>19583.859318719224</v>
      </c>
      <c r="C253" s="114">
        <v>0.14637223383993933</v>
      </c>
      <c r="D253" s="114">
        <v>32888.088862490047</v>
      </c>
      <c r="E253" s="114">
        <v>7.58221590247872E-2</v>
      </c>
      <c r="F253" s="114">
        <v>9359.7496194521373</v>
      </c>
      <c r="G253" s="114">
        <v>0.81812489865964788</v>
      </c>
      <c r="H253" s="114">
        <v>9359.7496194521373</v>
      </c>
      <c r="I253" s="114">
        <v>0.81812489865964788</v>
      </c>
      <c r="J253" s="114">
        <v>69641.023380033497</v>
      </c>
      <c r="K253" s="114">
        <v>6.6150421749689173E-2</v>
      </c>
      <c r="L253" s="114">
        <v>2727.9896772133088</v>
      </c>
      <c r="M253" s="114"/>
      <c r="N253" s="163">
        <v>2.1175150575399164</v>
      </c>
      <c r="O253" s="163">
        <v>1.9474257487576683</v>
      </c>
      <c r="P253" s="324">
        <v>3417.2188808596306</v>
      </c>
      <c r="Q253" s="114">
        <v>6.0226368734545126</v>
      </c>
      <c r="R253" s="114">
        <v>2892225.7710314789</v>
      </c>
      <c r="S253" s="114">
        <v>0.67462180605630373</v>
      </c>
      <c r="T253" s="114">
        <v>1776.708737201973</v>
      </c>
      <c r="U253" s="114">
        <v>31.282605868492709</v>
      </c>
      <c r="V253" s="114">
        <v>2666.982406848344</v>
      </c>
      <c r="W253" s="114">
        <v>9.9374108669418089</v>
      </c>
      <c r="X253" s="114">
        <v>13269413.418900609</v>
      </c>
      <c r="Y253" s="114">
        <v>0.67745520802972259</v>
      </c>
      <c r="Z253" s="114">
        <v>3098.0951651558416</v>
      </c>
      <c r="AA253" s="114">
        <v>7.3081179185490406</v>
      </c>
      <c r="AB253" s="114">
        <v>2856670.6997621418</v>
      </c>
      <c r="AC253" s="114">
        <v>0.68316683399174472</v>
      </c>
      <c r="AD253" s="114">
        <v>13196674.300355414</v>
      </c>
      <c r="AE253" s="114">
        <v>0.68072536137367057</v>
      </c>
      <c r="AF253" s="382">
        <v>4.6149352068810563</v>
      </c>
      <c r="AG253" s="163">
        <v>1.0318973821540995E-2</v>
      </c>
      <c r="AH253" s="436">
        <v>4.619661637766133</v>
      </c>
      <c r="AI253" s="434">
        <v>1.36615032511726E-2</v>
      </c>
      <c r="AJ253" s="21">
        <v>0</v>
      </c>
      <c r="AL253" s="21">
        <v>0</v>
      </c>
    </row>
    <row r="254" spans="1:38" s="21" customFormat="1" x14ac:dyDescent="0.15">
      <c r="A254" s="113" t="s">
        <v>832</v>
      </c>
      <c r="B254" s="324">
        <v>19530.255874899503</v>
      </c>
      <c r="C254" s="114">
        <v>0.13450197700651984</v>
      </c>
      <c r="D254" s="114">
        <v>32736.847002836163</v>
      </c>
      <c r="E254" s="114">
        <v>6.8598273508661711E-2</v>
      </c>
      <c r="F254" s="114">
        <v>9075.4080875616164</v>
      </c>
      <c r="G254" s="114">
        <v>0.91699836232333709</v>
      </c>
      <c r="H254" s="114">
        <v>9075.4080875616164</v>
      </c>
      <c r="I254" s="114">
        <v>0.91699836232333709</v>
      </c>
      <c r="J254" s="114">
        <v>70096.046510371176</v>
      </c>
      <c r="K254" s="114">
        <v>6.3560148246837089E-2</v>
      </c>
      <c r="L254" s="114">
        <v>3188.3041256904571</v>
      </c>
      <c r="M254" s="114"/>
      <c r="N254" s="163">
        <v>2.141197241881553</v>
      </c>
      <c r="O254" s="163">
        <v>2.0076324201245326</v>
      </c>
      <c r="P254" s="324">
        <v>3584.9992310996113</v>
      </c>
      <c r="Q254" s="114">
        <v>4.94777647396758</v>
      </c>
      <c r="R254" s="114">
        <v>4265794.9374066871</v>
      </c>
      <c r="S254" s="114">
        <v>0.36266823276051591</v>
      </c>
      <c r="T254" s="114">
        <v>2746.1061572208982</v>
      </c>
      <c r="U254" s="114">
        <v>22.365803542829671</v>
      </c>
      <c r="V254" s="114">
        <v>3201.3574814570125</v>
      </c>
      <c r="W254" s="114">
        <v>9.372609714453354</v>
      </c>
      <c r="X254" s="114">
        <v>19616370.735646788</v>
      </c>
      <c r="Y254" s="114">
        <v>0.36495610967349762</v>
      </c>
      <c r="Z254" s="114">
        <v>2832.5532230356316</v>
      </c>
      <c r="AA254" s="114">
        <v>10.611946076717471</v>
      </c>
      <c r="AB254" s="114">
        <v>4229856.7329223948</v>
      </c>
      <c r="AC254" s="114">
        <v>0.36620175712936653</v>
      </c>
      <c r="AD254" s="114">
        <v>19543442.135913372</v>
      </c>
      <c r="AE254" s="114">
        <v>0.36615245754902448</v>
      </c>
      <c r="AF254" s="382">
        <v>4.6165665648479672</v>
      </c>
      <c r="AG254" s="163">
        <v>6.8657942152457315E-3</v>
      </c>
      <c r="AH254" s="436">
        <v>4.6203573637736701</v>
      </c>
      <c r="AI254" s="434">
        <v>7.2962568175002351E-3</v>
      </c>
      <c r="AJ254" s="21">
        <v>0</v>
      </c>
      <c r="AL254" s="21">
        <v>0</v>
      </c>
    </row>
    <row r="255" spans="1:38" s="21" customFormat="1" x14ac:dyDescent="0.15">
      <c r="A255" s="113" t="s">
        <v>833</v>
      </c>
      <c r="B255" s="324">
        <v>19608.236669030583</v>
      </c>
      <c r="C255" s="114">
        <v>0.10904761560811226</v>
      </c>
      <c r="D255" s="114">
        <v>33103.747915868211</v>
      </c>
      <c r="E255" s="114">
        <v>6.1863388818737194E-2</v>
      </c>
      <c r="F255" s="114">
        <v>9361.4458348790231</v>
      </c>
      <c r="G255" s="114">
        <v>0.94368859272511929</v>
      </c>
      <c r="H255" s="114">
        <v>9361.4458348790231</v>
      </c>
      <c r="I255" s="114">
        <v>0.94368859272511929</v>
      </c>
      <c r="J255" s="114">
        <v>70768.122913561849</v>
      </c>
      <c r="K255" s="114">
        <v>4.3531577542182225E-2</v>
      </c>
      <c r="L255" s="114">
        <v>2532.1817760842869</v>
      </c>
      <c r="M255" s="114"/>
      <c r="N255" s="163">
        <v>2.1377676960752621</v>
      </c>
      <c r="O255" s="163">
        <v>1.9417073729115046</v>
      </c>
      <c r="P255" s="324">
        <v>3599.555296041714</v>
      </c>
      <c r="Q255" s="114">
        <v>4.4652925815307256</v>
      </c>
      <c r="R255" s="114">
        <v>2847599.20692774</v>
      </c>
      <c r="S255" s="114">
        <v>0.87029208056468399</v>
      </c>
      <c r="T255" s="114">
        <v>896.42256641369352</v>
      </c>
      <c r="U255" s="114">
        <v>64.220513136347307</v>
      </c>
      <c r="V255" s="114">
        <v>2363.3613135168284</v>
      </c>
      <c r="W255" s="114">
        <v>10.808624646782942</v>
      </c>
      <c r="X255" s="114">
        <v>13064481.561944205</v>
      </c>
      <c r="Y255" s="114">
        <v>0.87391677019568026</v>
      </c>
      <c r="Z255" s="114">
        <v>2528.2021684478486</v>
      </c>
      <c r="AA255" s="114">
        <v>6.8400765908431707</v>
      </c>
      <c r="AB255" s="114">
        <v>2812132.0976983565</v>
      </c>
      <c r="AC255" s="114">
        <v>0.87936331678404933</v>
      </c>
      <c r="AD255" s="114">
        <v>12991185.236862181</v>
      </c>
      <c r="AE255" s="114">
        <v>0.87883686758305624</v>
      </c>
      <c r="AF255" s="382">
        <v>4.6160745762981206</v>
      </c>
      <c r="AG255" s="163">
        <v>9.1469477025396644E-3</v>
      </c>
      <c r="AH255" s="436">
        <v>4.619705326735752</v>
      </c>
      <c r="AI255" s="434">
        <v>1.1461926598541967E-2</v>
      </c>
      <c r="AJ255" s="21">
        <v>0</v>
      </c>
      <c r="AL255" s="21">
        <v>0</v>
      </c>
    </row>
    <row r="256" spans="1:38" s="21" customFormat="1" x14ac:dyDescent="0.15">
      <c r="A256" s="113" t="s">
        <v>834</v>
      </c>
      <c r="B256" s="324">
        <v>19304.511144028223</v>
      </c>
      <c r="C256" s="114">
        <v>0.15597385032714059</v>
      </c>
      <c r="D256" s="114">
        <v>32975.062836586119</v>
      </c>
      <c r="E256" s="114">
        <v>8.0144251511534773E-2</v>
      </c>
      <c r="F256" s="114">
        <v>9634.7961055022424</v>
      </c>
      <c r="G256" s="114">
        <v>0.79980080582543434</v>
      </c>
      <c r="H256" s="114">
        <v>9634.7961055022424</v>
      </c>
      <c r="I256" s="114">
        <v>0.79980080582543434</v>
      </c>
      <c r="J256" s="114">
        <v>70261.57929958617</v>
      </c>
      <c r="K256" s="114">
        <v>5.7393076973683101E-2</v>
      </c>
      <c r="L256" s="114">
        <v>2156.0474332595645</v>
      </c>
      <c r="M256" s="114"/>
      <c r="N256" s="163">
        <v>2.1307489131341497</v>
      </c>
      <c r="O256" s="163">
        <v>1.9158735898479657</v>
      </c>
      <c r="P256" s="324">
        <v>3726.7531070361138</v>
      </c>
      <c r="Q256" s="114">
        <v>5.1033313305330026</v>
      </c>
      <c r="R256" s="114">
        <v>2956641.1994742062</v>
      </c>
      <c r="S256" s="114">
        <v>0.5017756786416111</v>
      </c>
      <c r="T256" s="114">
        <v>163.34024464339515</v>
      </c>
      <c r="U256" s="114">
        <v>377.10360291747065</v>
      </c>
      <c r="V256" s="114">
        <v>2097.136666282262</v>
      </c>
      <c r="W256" s="114">
        <v>13.394014966639411</v>
      </c>
      <c r="X256" s="114">
        <v>13570177.564772533</v>
      </c>
      <c r="Y256" s="114">
        <v>0.50699673780618171</v>
      </c>
      <c r="Z256" s="114">
        <v>1968.1241171112756</v>
      </c>
      <c r="AA256" s="114">
        <v>13.84564932488151</v>
      </c>
      <c r="AB256" s="114">
        <v>2921568.9999713376</v>
      </c>
      <c r="AC256" s="114">
        <v>0.50830536724091568</v>
      </c>
      <c r="AD256" s="114">
        <v>13497947.861355837</v>
      </c>
      <c r="AE256" s="114">
        <v>0.51014514204076933</v>
      </c>
      <c r="AF256" s="382">
        <v>4.6170997039684041</v>
      </c>
      <c r="AG256" s="163">
        <v>7.9176205678705303E-3</v>
      </c>
      <c r="AH256" s="436">
        <v>4.6200719302939435</v>
      </c>
      <c r="AI256" s="434">
        <v>1.2078232137306454E-2</v>
      </c>
      <c r="AJ256" s="21">
        <v>0</v>
      </c>
      <c r="AL256" s="21">
        <v>0</v>
      </c>
    </row>
    <row r="257" spans="1:38" s="21" customFormat="1" x14ac:dyDescent="0.15">
      <c r="A257" s="113" t="s">
        <v>835</v>
      </c>
      <c r="B257" s="324">
        <v>19260.205726934251</v>
      </c>
      <c r="C257" s="114">
        <v>0.10198014276906212</v>
      </c>
      <c r="D257" s="114">
        <v>32657.49779350372</v>
      </c>
      <c r="E257" s="114">
        <v>7.3616714261746555E-2</v>
      </c>
      <c r="F257" s="114">
        <v>8364.7908634830073</v>
      </c>
      <c r="G257" s="114">
        <v>0.82612372639227549</v>
      </c>
      <c r="H257" s="114">
        <v>8364.7908634830073</v>
      </c>
      <c r="I257" s="114">
        <v>0.82612372639227549</v>
      </c>
      <c r="J257" s="114">
        <v>70252.553719791918</v>
      </c>
      <c r="K257" s="114">
        <v>4.7388114254762304E-2</v>
      </c>
      <c r="L257" s="114">
        <v>3463.1591080944195</v>
      </c>
      <c r="M257" s="114"/>
      <c r="N257" s="163">
        <v>2.1511921753468406</v>
      </c>
      <c r="O257" s="163">
        <v>2.0333657623783208</v>
      </c>
      <c r="P257" s="324">
        <v>3825.3242821566291</v>
      </c>
      <c r="Q257" s="114">
        <v>4.9054182201138081</v>
      </c>
      <c r="R257" s="114">
        <v>2950104.2853702074</v>
      </c>
      <c r="S257" s="114">
        <v>0.78296135108655474</v>
      </c>
      <c r="T257" s="114">
        <v>2949.2321339859527</v>
      </c>
      <c r="U257" s="114">
        <v>17.233589096522088</v>
      </c>
      <c r="V257" s="114">
        <v>3424.6706887036271</v>
      </c>
      <c r="W257" s="114">
        <v>7.0501538286941736</v>
      </c>
      <c r="X257" s="114">
        <v>13540606.600958826</v>
      </c>
      <c r="Y257" s="114">
        <v>0.78950604726575657</v>
      </c>
      <c r="Z257" s="114">
        <v>2808.5242658364482</v>
      </c>
      <c r="AA257" s="114">
        <v>7.0546731570359</v>
      </c>
      <c r="AB257" s="114">
        <v>2914022.1168880002</v>
      </c>
      <c r="AC257" s="114">
        <v>0.79315186453731579</v>
      </c>
      <c r="AD257" s="114">
        <v>13467545.522973193</v>
      </c>
      <c r="AE257" s="114">
        <v>0.79376717332062674</v>
      </c>
      <c r="AF257" s="382">
        <v>4.6170709949345072</v>
      </c>
      <c r="AG257" s="163">
        <v>9.0129088015749731E-3</v>
      </c>
      <c r="AH257" s="436">
        <v>4.6216207064177741</v>
      </c>
      <c r="AI257" s="434">
        <v>1.1060374179197101E-2</v>
      </c>
      <c r="AJ257" s="21">
        <v>0</v>
      </c>
      <c r="AL257" s="21">
        <v>0</v>
      </c>
    </row>
    <row r="258" spans="1:38" s="21" customFormat="1" x14ac:dyDescent="0.15">
      <c r="A258" s="113" t="s">
        <v>836</v>
      </c>
      <c r="B258" s="324">
        <v>19345.447202945674</v>
      </c>
      <c r="C258" s="114">
        <v>0.13438293353657987</v>
      </c>
      <c r="D258" s="114">
        <v>32708.235455021953</v>
      </c>
      <c r="E258" s="114">
        <v>6.4510171401721772E-2</v>
      </c>
      <c r="F258" s="114">
        <v>9077.6414159057022</v>
      </c>
      <c r="G258" s="114">
        <v>0.85784066745595144</v>
      </c>
      <c r="H258" s="114">
        <v>9077.6414159057022</v>
      </c>
      <c r="I258" s="114">
        <v>0.85784066745595144</v>
      </c>
      <c r="J258" s="114">
        <v>70257.836282863223</v>
      </c>
      <c r="K258" s="114">
        <v>6.894654050630139E-2</v>
      </c>
      <c r="L258" s="114">
        <v>2872.6877362617042</v>
      </c>
      <c r="M258" s="114"/>
      <c r="N258" s="163">
        <v>2.1480167091091422</v>
      </c>
      <c r="O258" s="163">
        <v>1.9777384922254653</v>
      </c>
      <c r="P258" s="324">
        <v>3703.8680691529985</v>
      </c>
      <c r="Q258" s="114">
        <v>5.588008485786534</v>
      </c>
      <c r="R258" s="114">
        <v>3204712.703256838</v>
      </c>
      <c r="S258" s="114">
        <v>0.54891871852731122</v>
      </c>
      <c r="T258" s="114">
        <v>1689.0340516722865</v>
      </c>
      <c r="U258" s="114">
        <v>32.132845618068487</v>
      </c>
      <c r="V258" s="114">
        <v>2782.446171923837</v>
      </c>
      <c r="W258" s="114">
        <v>8.7609764620338275</v>
      </c>
      <c r="X258" s="114">
        <v>14713495.373620233</v>
      </c>
      <c r="Y258" s="114">
        <v>0.55199744202562073</v>
      </c>
      <c r="Z258" s="114">
        <v>2396.3947340548289</v>
      </c>
      <c r="AA258" s="114">
        <v>10.673684429033919</v>
      </c>
      <c r="AB258" s="114">
        <v>3169222.0216298918</v>
      </c>
      <c r="AC258" s="114">
        <v>0.55419579908646188</v>
      </c>
      <c r="AD258" s="114">
        <v>14640841.142603319</v>
      </c>
      <c r="AE258" s="114">
        <v>0.55466867415021703</v>
      </c>
      <c r="AF258" s="382">
        <v>4.6160992078913559</v>
      </c>
      <c r="AG258" s="163">
        <v>8.2804343135653782E-3</v>
      </c>
      <c r="AH258" s="436">
        <v>4.619689408161177</v>
      </c>
      <c r="AI258" s="434">
        <v>1.0647944080813957E-2</v>
      </c>
      <c r="AJ258" s="21">
        <v>0</v>
      </c>
      <c r="AL258" s="21">
        <v>0</v>
      </c>
    </row>
    <row r="259" spans="1:38" s="21" customFormat="1" x14ac:dyDescent="0.15">
      <c r="A259" s="113" t="s">
        <v>837</v>
      </c>
      <c r="B259" s="324">
        <v>19338.186568864345</v>
      </c>
      <c r="C259" s="114">
        <v>0.12676562218980247</v>
      </c>
      <c r="D259" s="114">
        <v>32702.546581158971</v>
      </c>
      <c r="E259" s="114">
        <v>6.693936884555729E-2</v>
      </c>
      <c r="F259" s="114">
        <v>8991.9112628692692</v>
      </c>
      <c r="G259" s="114">
        <v>0.78964758958694736</v>
      </c>
      <c r="H259" s="114">
        <v>8991.9112628692692</v>
      </c>
      <c r="I259" s="114">
        <v>0.78964758958694736</v>
      </c>
      <c r="J259" s="114">
        <v>70539.243869876387</v>
      </c>
      <c r="K259" s="114">
        <v>5.4807748737363923E-2</v>
      </c>
      <c r="L259" s="114">
        <v>2506.2780241789633</v>
      </c>
      <c r="M259" s="114"/>
      <c r="N259" s="163">
        <v>2.1569954405482417</v>
      </c>
      <c r="O259" s="163">
        <v>1.9349443489208777</v>
      </c>
      <c r="P259" s="324">
        <v>3709.4744730326975</v>
      </c>
      <c r="Q259" s="114">
        <v>4.6948502648057788</v>
      </c>
      <c r="R259" s="114">
        <v>3010421.050813857</v>
      </c>
      <c r="S259" s="114">
        <v>0.56044631446296056</v>
      </c>
      <c r="T259" s="114">
        <v>1119.7581349750033</v>
      </c>
      <c r="U259" s="114">
        <v>52.809818141232746</v>
      </c>
      <c r="V259" s="114">
        <v>2525.1479623645173</v>
      </c>
      <c r="W259" s="114">
        <v>10.447288181541774</v>
      </c>
      <c r="X259" s="114">
        <v>13817214.136451779</v>
      </c>
      <c r="Y259" s="114">
        <v>0.56134058710240031</v>
      </c>
      <c r="Z259" s="114">
        <v>1853.5143062556151</v>
      </c>
      <c r="AA259" s="114">
        <v>13.743027437976219</v>
      </c>
      <c r="AB259" s="114">
        <v>2975193.3562703342</v>
      </c>
      <c r="AC259" s="114">
        <v>0.56712789699324739</v>
      </c>
      <c r="AD259" s="114">
        <v>13744821.378275651</v>
      </c>
      <c r="AE259" s="114">
        <v>0.56446893053095026</v>
      </c>
      <c r="AF259" s="382">
        <v>4.6156902197657379</v>
      </c>
      <c r="AG259" s="163">
        <v>9.3921607917821261E-3</v>
      </c>
      <c r="AH259" s="436">
        <v>4.6198587833140303</v>
      </c>
      <c r="AI259" s="434">
        <v>1.1574840839117371E-2</v>
      </c>
      <c r="AJ259" s="21">
        <v>0</v>
      </c>
      <c r="AL259" s="21">
        <v>0</v>
      </c>
    </row>
    <row r="260" spans="1:38" s="21" customFormat="1" x14ac:dyDescent="0.15">
      <c r="A260" s="113" t="s">
        <v>838</v>
      </c>
      <c r="B260" s="324">
        <v>19452.212697001021</v>
      </c>
      <c r="C260" s="114">
        <v>0.13292913094929221</v>
      </c>
      <c r="D260" s="114">
        <v>32610.189395421592</v>
      </c>
      <c r="E260" s="114">
        <v>7.7366306119518516E-2</v>
      </c>
      <c r="F260" s="114">
        <v>9288.0934841906092</v>
      </c>
      <c r="G260" s="114">
        <v>0.78923255876595322</v>
      </c>
      <c r="H260" s="114">
        <v>9288.0934841906092</v>
      </c>
      <c r="I260" s="114">
        <v>0.78923255876595322</v>
      </c>
      <c r="J260" s="114">
        <v>70256.924257582839</v>
      </c>
      <c r="K260" s="114">
        <v>7.1911026296636205E-2</v>
      </c>
      <c r="L260" s="114">
        <v>2806.1832963519664</v>
      </c>
      <c r="M260" s="114"/>
      <c r="N260" s="163">
        <v>2.154446986052978</v>
      </c>
      <c r="O260" s="163">
        <v>1.9967506493404361</v>
      </c>
      <c r="P260" s="324">
        <v>3866.1758284900743</v>
      </c>
      <c r="Q260" s="114">
        <v>5.4841035271766136</v>
      </c>
      <c r="R260" s="114">
        <v>2739599.7598883091</v>
      </c>
      <c r="S260" s="114">
        <v>0.68535712759292056</v>
      </c>
      <c r="T260" s="114">
        <v>1606.7445574688775</v>
      </c>
      <c r="U260" s="114">
        <v>39.996258347704718</v>
      </c>
      <c r="V260" s="114">
        <v>2832.8949575395332</v>
      </c>
      <c r="W260" s="114">
        <v>11.924387218878518</v>
      </c>
      <c r="X260" s="114">
        <v>12567354.653906988</v>
      </c>
      <c r="Y260" s="114">
        <v>0.68983608508994376</v>
      </c>
      <c r="Z260" s="114">
        <v>3353.7775678049265</v>
      </c>
      <c r="AA260" s="114">
        <v>6.9822979170028558</v>
      </c>
      <c r="AB260" s="114">
        <v>2704156.6755353487</v>
      </c>
      <c r="AC260" s="114">
        <v>0.69187189667697535</v>
      </c>
      <c r="AD260" s="114">
        <v>12493743.9520816</v>
      </c>
      <c r="AE260" s="114">
        <v>0.69400360977450326</v>
      </c>
      <c r="AF260" s="382">
        <v>4.6152914949758364</v>
      </c>
      <c r="AG260" s="163">
        <v>1.3011880734083008E-2</v>
      </c>
      <c r="AH260" s="436">
        <v>4.6201485038438168</v>
      </c>
      <c r="AI260" s="434">
        <v>1.7520121563075048E-2</v>
      </c>
      <c r="AJ260" s="21">
        <v>0</v>
      </c>
      <c r="AL260" s="21">
        <v>0</v>
      </c>
    </row>
    <row r="261" spans="1:38" s="21" customFormat="1" x14ac:dyDescent="0.15">
      <c r="A261" s="113" t="s">
        <v>839</v>
      </c>
      <c r="B261" s="324">
        <v>19379.214613092176</v>
      </c>
      <c r="C261" s="114">
        <v>0.11879818823443587</v>
      </c>
      <c r="D261" s="114">
        <v>32749.416680247257</v>
      </c>
      <c r="E261" s="114">
        <v>6.428007962499567E-2</v>
      </c>
      <c r="F261" s="114">
        <v>8916.8944099839937</v>
      </c>
      <c r="G261" s="114">
        <v>0.95025070599473815</v>
      </c>
      <c r="H261" s="114">
        <v>8916.8944099839937</v>
      </c>
      <c r="I261" s="114">
        <v>0.95025070599473815</v>
      </c>
      <c r="J261" s="114">
        <v>70181.419483903257</v>
      </c>
      <c r="K261" s="114">
        <v>5.4949701136063955E-2</v>
      </c>
      <c r="L261" s="114">
        <v>2625.0400459168573</v>
      </c>
      <c r="M261" s="114"/>
      <c r="N261" s="163">
        <v>2.1429822756578449</v>
      </c>
      <c r="O261" s="163">
        <v>1.9734345015915473</v>
      </c>
      <c r="P261" s="324">
        <v>3580.0305348663815</v>
      </c>
      <c r="Q261" s="114">
        <v>5.407549254568174</v>
      </c>
      <c r="R261" s="114">
        <v>3162411.1008595773</v>
      </c>
      <c r="S261" s="114">
        <v>0.72680367914650479</v>
      </c>
      <c r="T261" s="114">
        <v>1176.5767584424136</v>
      </c>
      <c r="U261" s="114">
        <v>50.881804777645385</v>
      </c>
      <c r="V261" s="114">
        <v>2480.885434395906</v>
      </c>
      <c r="W261" s="114">
        <v>11.640085566951146</v>
      </c>
      <c r="X261" s="114">
        <v>14527120.490185296</v>
      </c>
      <c r="Y261" s="114">
        <v>0.73319490817744892</v>
      </c>
      <c r="Z261" s="114">
        <v>2695.6679290189613</v>
      </c>
      <c r="AA261" s="114">
        <v>8.6205563784151185</v>
      </c>
      <c r="AB261" s="114">
        <v>3127180.7987449332</v>
      </c>
      <c r="AC261" s="114">
        <v>0.73477259225902702</v>
      </c>
      <c r="AD261" s="114">
        <v>14454243.402772376</v>
      </c>
      <c r="AE261" s="114">
        <v>0.73682731623918385</v>
      </c>
      <c r="AF261" s="382">
        <v>4.6180939739689935</v>
      </c>
      <c r="AG261" s="163">
        <v>9.599431026058234E-3</v>
      </c>
      <c r="AH261" s="436">
        <v>4.6220897938908729</v>
      </c>
      <c r="AI261" s="434">
        <v>1.1650051544869934E-2</v>
      </c>
      <c r="AJ261" s="21">
        <v>0</v>
      </c>
      <c r="AL261" s="21">
        <v>0</v>
      </c>
    </row>
    <row r="262" spans="1:38" s="21" customFormat="1" x14ac:dyDescent="0.15">
      <c r="A262" s="113" t="s">
        <v>840</v>
      </c>
      <c r="B262" s="324">
        <v>19275.717380950457</v>
      </c>
      <c r="C262" s="114">
        <v>0.15230404086008636</v>
      </c>
      <c r="D262" s="114">
        <v>32565.656543998124</v>
      </c>
      <c r="E262" s="114">
        <v>7.3748775360976584E-2</v>
      </c>
      <c r="F262" s="114">
        <v>8494.8822159913416</v>
      </c>
      <c r="G262" s="114">
        <v>0.69610599761605274</v>
      </c>
      <c r="H262" s="114">
        <v>8494.8822159913416</v>
      </c>
      <c r="I262" s="114">
        <v>0.69610599761605274</v>
      </c>
      <c r="J262" s="114">
        <v>70235.142012875105</v>
      </c>
      <c r="K262" s="114">
        <v>7.3318606687409194E-2</v>
      </c>
      <c r="L262" s="114">
        <v>3123.2499922251964</v>
      </c>
      <c r="M262" s="114"/>
      <c r="N262" s="163">
        <v>2.1567242754029321</v>
      </c>
      <c r="O262" s="163">
        <v>1.9881292343456518</v>
      </c>
      <c r="P262" s="324">
        <v>3592.5468035839967</v>
      </c>
      <c r="Q262" s="114">
        <v>5.1412214387387962</v>
      </c>
      <c r="R262" s="114">
        <v>2825929.0063270107</v>
      </c>
      <c r="S262" s="114">
        <v>1.0365715935688593</v>
      </c>
      <c r="T262" s="114">
        <v>2522.7400625543632</v>
      </c>
      <c r="U262" s="114">
        <v>21.158404556201095</v>
      </c>
      <c r="V262" s="114">
        <v>3103.3038443944274</v>
      </c>
      <c r="W262" s="114">
        <v>8.7155885338038726</v>
      </c>
      <c r="X262" s="114">
        <v>12965356.407387007</v>
      </c>
      <c r="Y262" s="114">
        <v>1.0433812878864903</v>
      </c>
      <c r="Z262" s="114">
        <v>1545.6314276869387</v>
      </c>
      <c r="AA262" s="114">
        <v>16.577235564219265</v>
      </c>
      <c r="AB262" s="114">
        <v>2790260.045938618</v>
      </c>
      <c r="AC262" s="114">
        <v>1.0495865071802359</v>
      </c>
      <c r="AD262" s="114">
        <v>12893575.633946449</v>
      </c>
      <c r="AE262" s="114">
        <v>1.0495739543053282</v>
      </c>
      <c r="AF262" s="382">
        <v>4.6155095506742336</v>
      </c>
      <c r="AG262" s="163">
        <v>9.3541130551664641E-3</v>
      </c>
      <c r="AH262" s="436">
        <v>4.6209291817092657</v>
      </c>
      <c r="AI262" s="434">
        <v>1.2443985513560957E-2</v>
      </c>
      <c r="AJ262" s="21">
        <v>0</v>
      </c>
      <c r="AL262" s="21">
        <v>0</v>
      </c>
    </row>
    <row r="263" spans="1:38" s="21" customFormat="1" x14ac:dyDescent="0.15">
      <c r="A263" s="113" t="s">
        <v>841</v>
      </c>
      <c r="B263" s="324">
        <v>19430.843092173578</v>
      </c>
      <c r="C263" s="114">
        <v>0.13102136344501039</v>
      </c>
      <c r="D263" s="114">
        <v>32610.152297399622</v>
      </c>
      <c r="E263" s="114">
        <v>7.2390962205553008E-2</v>
      </c>
      <c r="F263" s="114">
        <v>8653.0734570532986</v>
      </c>
      <c r="G263" s="114">
        <v>0.80919997192566406</v>
      </c>
      <c r="H263" s="114">
        <v>8653.0734570532986</v>
      </c>
      <c r="I263" s="114">
        <v>0.80919997192566406</v>
      </c>
      <c r="J263" s="114">
        <v>70356.266992351302</v>
      </c>
      <c r="K263" s="114">
        <v>5.5837265853939951E-2</v>
      </c>
      <c r="L263" s="114">
        <v>571.51548862427956</v>
      </c>
      <c r="M263" s="114"/>
      <c r="N263" s="163">
        <v>2.1574958114489275</v>
      </c>
      <c r="O263" s="163">
        <v>1.862037420984612</v>
      </c>
      <c r="P263" s="324">
        <v>533.81171106037107</v>
      </c>
      <c r="Q263" s="114">
        <v>41.857659144147014</v>
      </c>
      <c r="R263" s="114">
        <v>1696416.8079105918</v>
      </c>
      <c r="S263" s="114">
        <v>1.5066970897001919</v>
      </c>
      <c r="T263" s="114">
        <v>591.81347201777805</v>
      </c>
      <c r="U263" s="114">
        <v>101.44458005295402</v>
      </c>
      <c r="V263" s="114">
        <v>560.33701893204955</v>
      </c>
      <c r="W263" s="114">
        <v>54.219099662623719</v>
      </c>
      <c r="X263" s="114">
        <v>7654970.6108023049</v>
      </c>
      <c r="Y263" s="114">
        <v>1.5272957534462344</v>
      </c>
      <c r="Z263" s="114">
        <v>708.56078314607623</v>
      </c>
      <c r="AA263" s="114">
        <v>33.155290944621932</v>
      </c>
      <c r="AB263" s="114">
        <v>1663246.3185942604</v>
      </c>
      <c r="AC263" s="114">
        <v>1.5398361534389229</v>
      </c>
      <c r="AD263" s="114">
        <v>7583905.7830268061</v>
      </c>
      <c r="AE263" s="114">
        <v>1.5416569654929315</v>
      </c>
      <c r="AF263" s="382">
        <v>4.5569269851758101</v>
      </c>
      <c r="AG263" s="163">
        <v>1.7343192307083519E-2</v>
      </c>
      <c r="AH263" s="436">
        <v>4.5596837794578846</v>
      </c>
      <c r="AI263" s="434">
        <v>2.4196330365589973E-2</v>
      </c>
      <c r="AJ263" s="21">
        <v>0</v>
      </c>
      <c r="AL263" s="21">
        <v>0</v>
      </c>
    </row>
    <row r="264" spans="1:38" s="21" customFormat="1" x14ac:dyDescent="0.15">
      <c r="A264" s="113" t="s">
        <v>842</v>
      </c>
      <c r="B264" s="324">
        <v>19372.306961955215</v>
      </c>
      <c r="C264" s="114">
        <v>0.13251053878509331</v>
      </c>
      <c r="D264" s="114">
        <v>33056.640046965178</v>
      </c>
      <c r="E264" s="114">
        <v>7.0487634147236813E-2</v>
      </c>
      <c r="F264" s="114">
        <v>8264.8582207508462</v>
      </c>
      <c r="G264" s="114">
        <v>1.0986716844286917</v>
      </c>
      <c r="H264" s="114">
        <v>8264.8582207508462</v>
      </c>
      <c r="I264" s="114">
        <v>1.0986716844286917</v>
      </c>
      <c r="J264" s="114">
        <v>71878.601632478458</v>
      </c>
      <c r="K264" s="114">
        <v>6.4667492771191382E-2</v>
      </c>
      <c r="L264" s="114">
        <v>359.68352574905691</v>
      </c>
      <c r="M264" s="114"/>
      <c r="N264" s="163">
        <v>2.1744073665792114</v>
      </c>
      <c r="O264" s="163">
        <v>1.8307943143223768</v>
      </c>
      <c r="P264" s="324">
        <v>1008.7552040707218</v>
      </c>
      <c r="Q264" s="114">
        <v>20.417648419656008</v>
      </c>
      <c r="R264" s="114">
        <v>1708206.2761893789</v>
      </c>
      <c r="S264" s="114">
        <v>0.76916672444879708</v>
      </c>
      <c r="T264" s="114">
        <v>-628.20899675094518</v>
      </c>
      <c r="U264" s="114">
        <v>-101.41185207476219</v>
      </c>
      <c r="V264" s="114">
        <v>260.14035712501828</v>
      </c>
      <c r="W264" s="114">
        <v>123.95743134332416</v>
      </c>
      <c r="X264" s="114">
        <v>7706063.5922516417</v>
      </c>
      <c r="Y264" s="114">
        <v>0.78702004661481528</v>
      </c>
      <c r="Z264" s="114">
        <v>346.11590499974523</v>
      </c>
      <c r="AA264" s="114">
        <v>60.797039394194179</v>
      </c>
      <c r="AB264" s="114">
        <v>1674889.4957852892</v>
      </c>
      <c r="AC264" s="114">
        <v>0.7874400242079036</v>
      </c>
      <c r="AD264" s="114">
        <v>7633838.8747141641</v>
      </c>
      <c r="AE264" s="114">
        <v>0.79473285693501161</v>
      </c>
      <c r="AF264" s="382">
        <v>4.5568395729330957</v>
      </c>
      <c r="AG264" s="163">
        <v>1.7946624701999193E-2</v>
      </c>
      <c r="AH264" s="436">
        <v>4.5576550039766106</v>
      </c>
      <c r="AI264" s="434">
        <v>2.4359813853224856E-2</v>
      </c>
      <c r="AJ264" s="21">
        <v>0</v>
      </c>
      <c r="AL264" s="21">
        <v>0</v>
      </c>
    </row>
    <row r="265" spans="1:38" s="21" customFormat="1" x14ac:dyDescent="0.15">
      <c r="A265" s="113" t="s">
        <v>843</v>
      </c>
      <c r="B265" s="324">
        <v>19445.93611398137</v>
      </c>
      <c r="C265" s="114">
        <v>0.1222596216988885</v>
      </c>
      <c r="D265" s="114">
        <v>33046.625154699468</v>
      </c>
      <c r="E265" s="114">
        <v>6.4855029739561726E-2</v>
      </c>
      <c r="F265" s="114">
        <v>9338.0171332116915</v>
      </c>
      <c r="G265" s="114">
        <v>0.78583476556257492</v>
      </c>
      <c r="H265" s="114">
        <v>9338.0171332116915</v>
      </c>
      <c r="I265" s="114">
        <v>0.78583476556257492</v>
      </c>
      <c r="J265" s="114">
        <v>72484.325533666124</v>
      </c>
      <c r="K265" s="114">
        <v>5.0456565251702508E-2</v>
      </c>
      <c r="L265" s="114">
        <v>186.83092670036086</v>
      </c>
      <c r="M265" s="114"/>
      <c r="N265" s="163">
        <v>2.1933957006002571</v>
      </c>
      <c r="O265" s="163">
        <v>1.8758995987139069</v>
      </c>
      <c r="P265" s="324">
        <v>949.01975690066377</v>
      </c>
      <c r="Q265" s="114">
        <v>17.481329679237341</v>
      </c>
      <c r="R265" s="114">
        <v>1767244.1229160789</v>
      </c>
      <c r="S265" s="114">
        <v>0.48529487069454053</v>
      </c>
      <c r="T265" s="114">
        <v>-547.81471336353411</v>
      </c>
      <c r="U265" s="114">
        <v>-109.59080058581688</v>
      </c>
      <c r="V265" s="114">
        <v>264.48889953834038</v>
      </c>
      <c r="W265" s="114">
        <v>103.1614792747102</v>
      </c>
      <c r="X265" s="114">
        <v>7978785.6043603299</v>
      </c>
      <c r="Y265" s="114">
        <v>0.48908994521809551</v>
      </c>
      <c r="Z265" s="114">
        <v>976.23101500882581</v>
      </c>
      <c r="AA265" s="114">
        <v>22.867942014127419</v>
      </c>
      <c r="AB265" s="114">
        <v>1733933.0088618409</v>
      </c>
      <c r="AC265" s="114">
        <v>0.49534907439527615</v>
      </c>
      <c r="AD265" s="114">
        <v>7905325.0478116591</v>
      </c>
      <c r="AE265" s="114">
        <v>0.49304829412323214</v>
      </c>
      <c r="AF265" s="382">
        <v>4.5588235483492907</v>
      </c>
      <c r="AG265" s="163">
        <v>1.0124372714555629E-2</v>
      </c>
      <c r="AH265" s="436">
        <v>4.5592355388565027</v>
      </c>
      <c r="AI265" s="434">
        <v>1.9509472153460935E-2</v>
      </c>
      <c r="AJ265" s="21">
        <v>0</v>
      </c>
      <c r="AL265" s="21">
        <v>0</v>
      </c>
    </row>
    <row r="266" spans="1:38" s="21" customFormat="1" x14ac:dyDescent="0.15">
      <c r="A266" s="113" t="s">
        <v>844</v>
      </c>
      <c r="B266" s="324">
        <v>19123.460458854261</v>
      </c>
      <c r="C266" s="114">
        <v>0.13054779768500913</v>
      </c>
      <c r="D266" s="114">
        <v>33141.156988548719</v>
      </c>
      <c r="E266" s="114">
        <v>6.7455362620810505E-2</v>
      </c>
      <c r="F266" s="114">
        <v>7862.7320242730057</v>
      </c>
      <c r="G266" s="114">
        <v>1.0418941254407306</v>
      </c>
      <c r="H266" s="114">
        <v>7862.7320242730057</v>
      </c>
      <c r="I266" s="114">
        <v>1.0418941254407306</v>
      </c>
      <c r="J266" s="114">
        <v>72719.121220952322</v>
      </c>
      <c r="K266" s="114">
        <v>6.7842782468342064E-2</v>
      </c>
      <c r="L266" s="114">
        <v>987.8862701144717</v>
      </c>
      <c r="M266" s="114"/>
      <c r="N266" s="163">
        <v>2.1942239749227523</v>
      </c>
      <c r="O266" s="163">
        <v>1.9196098220081805</v>
      </c>
      <c r="P266" s="324">
        <v>1387.2175787443423</v>
      </c>
      <c r="Q266" s="114">
        <v>13.448212642252168</v>
      </c>
      <c r="R266" s="114">
        <v>1457776.7644981081</v>
      </c>
      <c r="S266" s="114">
        <v>1.2625677774208626</v>
      </c>
      <c r="T266" s="114">
        <v>-160.68547212678769</v>
      </c>
      <c r="U266" s="114">
        <v>-393.13745578649758</v>
      </c>
      <c r="V266" s="114">
        <v>679.33208868106999</v>
      </c>
      <c r="W266" s="114">
        <v>42.5881266591892</v>
      </c>
      <c r="X266" s="114">
        <v>6563047.1321832528</v>
      </c>
      <c r="Y266" s="114">
        <v>1.2804371595785686</v>
      </c>
      <c r="Z266" s="114">
        <v>920.88422400552656</v>
      </c>
      <c r="AA266" s="114">
        <v>30.873054819618975</v>
      </c>
      <c r="AB266" s="114">
        <v>1423956.2754208778</v>
      </c>
      <c r="AC266" s="114">
        <v>1.2928385728142171</v>
      </c>
      <c r="AD266" s="114">
        <v>6489407.126738294</v>
      </c>
      <c r="AE266" s="114">
        <v>1.2952484478742936</v>
      </c>
      <c r="AF266" s="382">
        <v>4.555564283532072</v>
      </c>
      <c r="AG266" s="163">
        <v>1.5492925300824764E-2</v>
      </c>
      <c r="AH266" s="436">
        <v>4.5572125582081107</v>
      </c>
      <c r="AI266" s="434">
        <v>1.9091049598603423E-2</v>
      </c>
      <c r="AJ266" s="21">
        <v>0</v>
      </c>
      <c r="AL266" s="21">
        <v>0</v>
      </c>
    </row>
    <row r="267" spans="1:38" s="21" customFormat="1" x14ac:dyDescent="0.15">
      <c r="A267" s="113" t="s">
        <v>845</v>
      </c>
      <c r="B267" s="324">
        <v>19412.725495842125</v>
      </c>
      <c r="C267" s="114">
        <v>0.12441293917272568</v>
      </c>
      <c r="D267" s="114">
        <v>33342.759901338075</v>
      </c>
      <c r="E267" s="114">
        <v>5.8551854376388893E-2</v>
      </c>
      <c r="F267" s="114">
        <v>8118.4518045635423</v>
      </c>
      <c r="G267" s="114">
        <v>1.0081733797200307</v>
      </c>
      <c r="H267" s="114">
        <v>8118.4518045635423</v>
      </c>
      <c r="I267" s="114">
        <v>1.0081733797200307</v>
      </c>
      <c r="J267" s="114">
        <v>72798.467092120482</v>
      </c>
      <c r="K267" s="114">
        <v>5.6697923991601611E-2</v>
      </c>
      <c r="L267" s="114">
        <v>263.11061733085796</v>
      </c>
      <c r="M267" s="114"/>
      <c r="N267" s="163">
        <v>2.1833365716435194</v>
      </c>
      <c r="O267" s="163">
        <v>1.8659020155476504</v>
      </c>
      <c r="P267" s="324">
        <v>960.44640033149358</v>
      </c>
      <c r="Q267" s="114">
        <v>20.889320946160328</v>
      </c>
      <c r="R267" s="114">
        <v>1709875.9585196804</v>
      </c>
      <c r="S267" s="114">
        <v>0.91519668523813325</v>
      </c>
      <c r="T267" s="114">
        <v>-521.55753306476345</v>
      </c>
      <c r="U267" s="114">
        <v>-111.37121940877442</v>
      </c>
      <c r="V267" s="114">
        <v>282.69782940032371</v>
      </c>
      <c r="W267" s="114">
        <v>103.92988532406686</v>
      </c>
      <c r="X267" s="114">
        <v>7711718.8777978523</v>
      </c>
      <c r="Y267" s="114">
        <v>0.92464037850997427</v>
      </c>
      <c r="Z267" s="114">
        <v>360.66297854593472</v>
      </c>
      <c r="AA267" s="114">
        <v>67.817017978826854</v>
      </c>
      <c r="AB267" s="114">
        <v>1676250.500788942</v>
      </c>
      <c r="AC267" s="114">
        <v>0.93484358236876886</v>
      </c>
      <c r="AD267" s="114">
        <v>7638559.7477271818</v>
      </c>
      <c r="AE267" s="114">
        <v>0.93334940476657502</v>
      </c>
      <c r="AF267" s="382">
        <v>4.5561458462050197</v>
      </c>
      <c r="AG267" s="163">
        <v>1.5189574391946407E-2</v>
      </c>
      <c r="AH267" s="436">
        <v>4.5569907932998293</v>
      </c>
      <c r="AI267" s="434">
        <v>2.3981634259604451E-2</v>
      </c>
      <c r="AJ267" s="21">
        <v>0</v>
      </c>
      <c r="AL267" s="21">
        <v>0</v>
      </c>
    </row>
    <row r="268" spans="1:38" s="21" customFormat="1" x14ac:dyDescent="0.15">
      <c r="A268" s="113" t="s">
        <v>846</v>
      </c>
      <c r="B268" s="324">
        <v>19277.592469038311</v>
      </c>
      <c r="C268" s="114">
        <v>0.11174419127766447</v>
      </c>
      <c r="D268" s="114">
        <v>33322.757802791049</v>
      </c>
      <c r="E268" s="114">
        <v>7.0609251532316716E-2</v>
      </c>
      <c r="F268" s="114">
        <v>7250.9231460261544</v>
      </c>
      <c r="G268" s="114">
        <v>1.0808990738892903</v>
      </c>
      <c r="H268" s="114">
        <v>7250.9231460261544</v>
      </c>
      <c r="I268" s="114">
        <v>1.0808990738892903</v>
      </c>
      <c r="J268" s="114">
        <v>73388.750729591644</v>
      </c>
      <c r="K268" s="114">
        <v>4.7664357077377859E-2</v>
      </c>
      <c r="L268" s="114">
        <v>1115.9071894307949</v>
      </c>
      <c r="M268" s="114"/>
      <c r="N268" s="163">
        <v>2.202361256049604</v>
      </c>
      <c r="O268" s="163">
        <v>1.9288081062972136</v>
      </c>
      <c r="P268" s="324">
        <v>1229.6618085987216</v>
      </c>
      <c r="Q268" s="114">
        <v>14.717633548143503</v>
      </c>
      <c r="R268" s="114">
        <v>2001837.2293330927</v>
      </c>
      <c r="S268" s="114">
        <v>1.118219884962995</v>
      </c>
      <c r="T268" s="114">
        <v>648.70692708453544</v>
      </c>
      <c r="U268" s="114">
        <v>90.86225753455841</v>
      </c>
      <c r="V268" s="114">
        <v>963.98009760663035</v>
      </c>
      <c r="W268" s="114">
        <v>31.344928252328984</v>
      </c>
      <c r="X268" s="114">
        <v>9045843.4362705704</v>
      </c>
      <c r="Y268" s="114">
        <v>1.1275109557925307</v>
      </c>
      <c r="Z268" s="114">
        <v>979.63146174731708</v>
      </c>
      <c r="AA268" s="114">
        <v>25.30228721306354</v>
      </c>
      <c r="AB268" s="114">
        <v>1967550.4914326954</v>
      </c>
      <c r="AC268" s="114">
        <v>1.1330524640576534</v>
      </c>
      <c r="AD268" s="114">
        <v>8971475.0540792271</v>
      </c>
      <c r="AE268" s="114">
        <v>1.1368002247162985</v>
      </c>
      <c r="AF268" s="382">
        <v>4.5566236431364677</v>
      </c>
      <c r="AG268" s="163">
        <v>1.1598243619034013E-2</v>
      </c>
      <c r="AH268" s="436">
        <v>4.5595910920811278</v>
      </c>
      <c r="AI268" s="434">
        <v>1.5830172409152393E-2</v>
      </c>
      <c r="AJ268" s="21">
        <v>0</v>
      </c>
      <c r="AL268" s="21">
        <v>0</v>
      </c>
    </row>
    <row r="269" spans="1:38" s="21" customFormat="1" x14ac:dyDescent="0.15">
      <c r="A269" s="113" t="s">
        <v>847</v>
      </c>
      <c r="B269" s="324">
        <v>19344.247093110851</v>
      </c>
      <c r="C269" s="114">
        <v>0.126186294542004</v>
      </c>
      <c r="D269" s="114">
        <v>33298.760387945244</v>
      </c>
      <c r="E269" s="114">
        <v>6.4408830777122963E-2</v>
      </c>
      <c r="F269" s="114">
        <v>7811.2594829874306</v>
      </c>
      <c r="G269" s="114">
        <v>0.95362412131719465</v>
      </c>
      <c r="H269" s="114">
        <v>7811.2594829874306</v>
      </c>
      <c r="I269" s="114">
        <v>0.95362412131719465</v>
      </c>
      <c r="J269" s="114">
        <v>73369.828252633059</v>
      </c>
      <c r="K269" s="114">
        <v>5.9791572790135535E-2</v>
      </c>
      <c r="L269" s="114">
        <v>-26727.632911129032</v>
      </c>
      <c r="M269" s="114"/>
      <c r="N269" s="163">
        <v>2.2033801678453551</v>
      </c>
      <c r="O269" s="163">
        <v>1.0368254772470515</v>
      </c>
      <c r="P269" s="324">
        <v>-19420.043654979716</v>
      </c>
      <c r="Q269" s="114">
        <v>-12.52152113986498</v>
      </c>
      <c r="R269" s="114">
        <v>4202189.7342810119</v>
      </c>
      <c r="S269" s="114">
        <v>15.682207479596718</v>
      </c>
      <c r="T269" s="114">
        <v>-65936.19178386539</v>
      </c>
      <c r="U269" s="114">
        <v>-11.527674610496382</v>
      </c>
      <c r="V269" s="114">
        <v>-40692.762444144653</v>
      </c>
      <c r="W269" s="114">
        <v>-11.771605918996608</v>
      </c>
      <c r="X269" s="114">
        <v>21989312.733318917</v>
      </c>
      <c r="Y269" s="114">
        <v>6.3354582378836293</v>
      </c>
      <c r="Z269" s="114">
        <v>-92559.857780911087</v>
      </c>
      <c r="AA269" s="114">
        <v>-10.878529984594069</v>
      </c>
      <c r="AB269" s="114">
        <v>4209583.7363372035</v>
      </c>
      <c r="AC269" s="114">
        <v>15.636669211212624</v>
      </c>
      <c r="AD269" s="114">
        <v>22008502.762847185</v>
      </c>
      <c r="AE269" s="114">
        <v>6.3706438729331758</v>
      </c>
      <c r="AF269" s="382">
        <v>9.6724437610152076</v>
      </c>
      <c r="AG269" s="163">
        <v>10.521222564170959</v>
      </c>
      <c r="AH269" s="436">
        <v>9.3453545137276901</v>
      </c>
      <c r="AI269" s="434">
        <v>10.16634403007561</v>
      </c>
      <c r="AJ269" s="21">
        <v>0</v>
      </c>
      <c r="AL269" s="21">
        <v>0</v>
      </c>
    </row>
    <row r="270" spans="1:38" s="21" customFormat="1" x14ac:dyDescent="0.15">
      <c r="A270" s="113" t="s">
        <v>848</v>
      </c>
      <c r="B270" s="324">
        <v>19369.895535169526</v>
      </c>
      <c r="C270" s="114">
        <v>0.13160086123474748</v>
      </c>
      <c r="D270" s="114">
        <v>34070.68670007123</v>
      </c>
      <c r="E270" s="114">
        <v>6.2892782247643511E-2</v>
      </c>
      <c r="F270" s="114">
        <v>9263.1065333216829</v>
      </c>
      <c r="G270" s="114">
        <v>0.87729232993154493</v>
      </c>
      <c r="H270" s="114">
        <v>9263.1065333216829</v>
      </c>
      <c r="I270" s="114">
        <v>0.87729232993154493</v>
      </c>
      <c r="J270" s="114">
        <v>75444.972571372913</v>
      </c>
      <c r="K270" s="114">
        <v>6.8704905597370677E-2</v>
      </c>
      <c r="L270" s="114">
        <v>884.64207317166813</v>
      </c>
      <c r="M270" s="114"/>
      <c r="N270" s="163">
        <v>2.214366068859281</v>
      </c>
      <c r="O270" s="163">
        <v>1.9221431852899624</v>
      </c>
      <c r="P270" s="324">
        <v>721.72075198598441</v>
      </c>
      <c r="Q270" s="114">
        <v>23.29197454389513</v>
      </c>
      <c r="R270" s="114">
        <v>1840242.1897441142</v>
      </c>
      <c r="S270" s="114">
        <v>1.8723356923409713</v>
      </c>
      <c r="T270" s="114">
        <v>778.42455098736787</v>
      </c>
      <c r="U270" s="114">
        <v>70.980221600300851</v>
      </c>
      <c r="V270" s="114">
        <v>747.65247718153421</v>
      </c>
      <c r="W270" s="114">
        <v>34.42960112353245</v>
      </c>
      <c r="X270" s="114">
        <v>8311542.7823726218</v>
      </c>
      <c r="Y270" s="114">
        <v>1.891228317537103</v>
      </c>
      <c r="Z270" s="114">
        <v>469.81691410170549</v>
      </c>
      <c r="AA270" s="114">
        <v>42.227801286493104</v>
      </c>
      <c r="AB270" s="114">
        <v>1805423.8505668612</v>
      </c>
      <c r="AC270" s="114">
        <v>1.9073766627098827</v>
      </c>
      <c r="AD270" s="114">
        <v>8235627.9928871458</v>
      </c>
      <c r="AE270" s="114">
        <v>1.9085636109244832</v>
      </c>
      <c r="AF270" s="382">
        <v>4.5601761010966815</v>
      </c>
      <c r="AG270" s="163">
        <v>1.5630112567379041E-2</v>
      </c>
      <c r="AH270" s="436">
        <v>4.561570893930921</v>
      </c>
      <c r="AI270" s="434">
        <v>1.9592402765159455E-2</v>
      </c>
      <c r="AJ270" s="21">
        <v>0</v>
      </c>
      <c r="AL270" s="21">
        <v>0</v>
      </c>
    </row>
    <row r="271" spans="1:38" s="21" customFormat="1" x14ac:dyDescent="0.15">
      <c r="A271" s="113" t="s">
        <v>849</v>
      </c>
      <c r="B271" s="324">
        <v>19532.780538682593</v>
      </c>
      <c r="C271" s="114">
        <v>0.1328820654566466</v>
      </c>
      <c r="D271" s="114">
        <v>33891.026805401867</v>
      </c>
      <c r="E271" s="114">
        <v>6.344696563363518E-2</v>
      </c>
      <c r="F271" s="114">
        <v>8734.0409034663735</v>
      </c>
      <c r="G271" s="114">
        <v>0.99001497236897085</v>
      </c>
      <c r="H271" s="114">
        <v>8734.0409034663735</v>
      </c>
      <c r="I271" s="114">
        <v>0.99001497236897085</v>
      </c>
      <c r="J271" s="114">
        <v>75105.646977937184</v>
      </c>
      <c r="K271" s="114">
        <v>4.6479757135597953E-2</v>
      </c>
      <c r="L271" s="114">
        <v>1356.2417550061448</v>
      </c>
      <c r="M271" s="114"/>
      <c r="N271" s="163">
        <v>2.216092401365843</v>
      </c>
      <c r="O271" s="163">
        <v>1.9483644586217956</v>
      </c>
      <c r="P271" s="324">
        <v>1190.5288264927035</v>
      </c>
      <c r="Q271" s="114">
        <v>16.63888239011445</v>
      </c>
      <c r="R271" s="114">
        <v>1941044.1611392016</v>
      </c>
      <c r="S271" s="114">
        <v>0.78956936922407606</v>
      </c>
      <c r="T271" s="114">
        <v>1298.2741656787609</v>
      </c>
      <c r="U271" s="114">
        <v>40.399329894398299</v>
      </c>
      <c r="V271" s="114">
        <v>1239.8028182900789</v>
      </c>
      <c r="W271" s="114">
        <v>19.1352209670344</v>
      </c>
      <c r="X271" s="114">
        <v>8770226.0971781872</v>
      </c>
      <c r="Y271" s="114">
        <v>0.79795928681068662</v>
      </c>
      <c r="Z271" s="114">
        <v>-59.314585916768138</v>
      </c>
      <c r="AA271" s="114">
        <v>-528.29422540857809</v>
      </c>
      <c r="AB271" s="114">
        <v>1905913.3315155101</v>
      </c>
      <c r="AC271" s="114">
        <v>0.80514445350060926</v>
      </c>
      <c r="AD271" s="114">
        <v>8695179.7647861708</v>
      </c>
      <c r="AE271" s="114">
        <v>0.80388137093464296</v>
      </c>
      <c r="AF271" s="382">
        <v>4.5596559039136713</v>
      </c>
      <c r="AG271" s="163">
        <v>1.146351818460984E-2</v>
      </c>
      <c r="AH271" s="436">
        <v>4.5622473683730318</v>
      </c>
      <c r="AI271" s="434">
        <v>1.4836856263180133E-2</v>
      </c>
      <c r="AJ271" s="21">
        <v>0</v>
      </c>
      <c r="AL271" s="21">
        <v>0</v>
      </c>
    </row>
    <row r="272" spans="1:38" s="21" customFormat="1" x14ac:dyDescent="0.15">
      <c r="A272" s="113" t="s">
        <v>850</v>
      </c>
      <c r="B272" s="324">
        <v>19709.935907511906</v>
      </c>
      <c r="C272" s="114">
        <v>0.13751910385932514</v>
      </c>
      <c r="D272" s="114">
        <v>33872.287247074688</v>
      </c>
      <c r="E272" s="114">
        <v>6.1182045767355003E-2</v>
      </c>
      <c r="F272" s="114">
        <v>8679.0876701997004</v>
      </c>
      <c r="G272" s="114">
        <v>0.78685936164482273</v>
      </c>
      <c r="H272" s="114">
        <v>8679.0876701997004</v>
      </c>
      <c r="I272" s="114">
        <v>0.78685936164482273</v>
      </c>
      <c r="J272" s="114">
        <v>74438.661566808514</v>
      </c>
      <c r="K272" s="114">
        <v>6.9480750130859775E-2</v>
      </c>
      <c r="L272" s="114">
        <v>705.24048191377096</v>
      </c>
      <c r="M272" s="114"/>
      <c r="N272" s="163">
        <v>2.1976272527399892</v>
      </c>
      <c r="O272" s="163">
        <v>1.9170308640641038</v>
      </c>
      <c r="P272" s="324">
        <v>778.72231165655421</v>
      </c>
      <c r="Q272" s="114">
        <v>23.715228992041947</v>
      </c>
      <c r="R272" s="114">
        <v>1742427.1231474334</v>
      </c>
      <c r="S272" s="114">
        <v>2.0114474150850858</v>
      </c>
      <c r="T272" s="114">
        <v>794.22479085163889</v>
      </c>
      <c r="U272" s="114">
        <v>66.088093389429318</v>
      </c>
      <c r="V272" s="114">
        <v>785.8118900872139</v>
      </c>
      <c r="W272" s="114">
        <v>33.817532845160692</v>
      </c>
      <c r="X272" s="114">
        <v>7862685.9350960236</v>
      </c>
      <c r="Y272" s="114">
        <v>2.0346979092787882</v>
      </c>
      <c r="Z272" s="114">
        <v>426.52367189842056</v>
      </c>
      <c r="AA272" s="114">
        <v>44.52445423698699</v>
      </c>
      <c r="AB272" s="114">
        <v>1707769.0240102704</v>
      </c>
      <c r="AC272" s="114">
        <v>2.0520869086500424</v>
      </c>
      <c r="AD272" s="114">
        <v>7787820.7498573186</v>
      </c>
      <c r="AE272" s="114">
        <v>2.0545940813864565</v>
      </c>
      <c r="AF272" s="382">
        <v>4.5574648954543377</v>
      </c>
      <c r="AG272" s="163">
        <v>1.5906040713820895E-2</v>
      </c>
      <c r="AH272" s="436">
        <v>4.5601425558057169</v>
      </c>
      <c r="AI272" s="434">
        <v>2.0363998231651664E-2</v>
      </c>
      <c r="AJ272" s="21">
        <v>0</v>
      </c>
      <c r="AL272" s="21">
        <v>0</v>
      </c>
    </row>
    <row r="273" spans="1:38" s="21" customFormat="1" x14ac:dyDescent="0.15">
      <c r="A273" s="113" t="s">
        <v>851</v>
      </c>
      <c r="B273" s="324">
        <v>19541.429478987273</v>
      </c>
      <c r="C273" s="114">
        <v>0.13189148096862907</v>
      </c>
      <c r="D273" s="114">
        <v>33800.976081716326</v>
      </c>
      <c r="E273" s="114">
        <v>5.3876799018150609E-2</v>
      </c>
      <c r="F273" s="114">
        <v>8769.0603281192343</v>
      </c>
      <c r="G273" s="114">
        <v>0.79326611585081364</v>
      </c>
      <c r="H273" s="114">
        <v>8769.0603281192343</v>
      </c>
      <c r="I273" s="114">
        <v>0.79326611585081364</v>
      </c>
      <c r="J273" s="114">
        <v>74975.478879390343</v>
      </c>
      <c r="K273" s="114">
        <v>5.3035943386039314E-2</v>
      </c>
      <c r="L273" s="114">
        <v>934.19647084863789</v>
      </c>
      <c r="M273" s="114"/>
      <c r="N273" s="163">
        <v>2.2181453783503664</v>
      </c>
      <c r="O273" s="163">
        <v>1.9332116506264667</v>
      </c>
      <c r="P273" s="324">
        <v>1277.5028626162148</v>
      </c>
      <c r="Q273" s="114">
        <v>15.163860157247335</v>
      </c>
      <c r="R273" s="114">
        <v>2176330.4404630312</v>
      </c>
      <c r="S273" s="114">
        <v>1.5810136845453056</v>
      </c>
      <c r="T273" s="114">
        <v>575.27704749574752</v>
      </c>
      <c r="U273" s="114">
        <v>91.690322971394778</v>
      </c>
      <c r="V273" s="114">
        <v>956.36164838327068</v>
      </c>
      <c r="W273" s="114">
        <v>29.084377009412396</v>
      </c>
      <c r="X273" s="114">
        <v>9842392.7579498589</v>
      </c>
      <c r="Y273" s="114">
        <v>1.6020242086675607</v>
      </c>
      <c r="Z273" s="114">
        <v>821.35050313025567</v>
      </c>
      <c r="AA273" s="114">
        <v>29.099408590008878</v>
      </c>
      <c r="AB273" s="114">
        <v>2141573.1027329313</v>
      </c>
      <c r="AC273" s="114">
        <v>1.6051714826414971</v>
      </c>
      <c r="AD273" s="114">
        <v>9766595.9285673331</v>
      </c>
      <c r="AE273" s="114">
        <v>1.6145152308653965</v>
      </c>
      <c r="AF273" s="382">
        <v>4.5580941474947299</v>
      </c>
      <c r="AG273" s="163">
        <v>1.310763286137691E-2</v>
      </c>
      <c r="AH273" s="436">
        <v>4.560044515038788</v>
      </c>
      <c r="AI273" s="434">
        <v>1.7921512178658162E-2</v>
      </c>
      <c r="AJ273" s="21">
        <v>0</v>
      </c>
      <c r="AL273" s="21">
        <v>0</v>
      </c>
    </row>
    <row r="274" spans="1:38" s="21" customFormat="1" x14ac:dyDescent="0.15">
      <c r="A274" s="113" t="s">
        <v>852</v>
      </c>
      <c r="B274" s="324">
        <v>19550.873139959294</v>
      </c>
      <c r="C274" s="114">
        <v>0.14319116145718658</v>
      </c>
      <c r="D274" s="114">
        <v>33700.169900504705</v>
      </c>
      <c r="E274" s="114">
        <v>7.2557123644400895E-2</v>
      </c>
      <c r="F274" s="114">
        <v>9188.7269277861706</v>
      </c>
      <c r="G274" s="114">
        <v>0.76681536610888712</v>
      </c>
      <c r="H274" s="114">
        <v>9188.7269277861706</v>
      </c>
      <c r="I274" s="114">
        <v>0.76681536610888712</v>
      </c>
      <c r="J274" s="114">
        <v>74450.083220538538</v>
      </c>
      <c r="K274" s="114">
        <v>4.5905398533313997E-2</v>
      </c>
      <c r="L274" s="114">
        <v>1222.4794132763295</v>
      </c>
      <c r="M274" s="114"/>
      <c r="N274" s="163">
        <v>2.2091901447483071</v>
      </c>
      <c r="O274" s="163">
        <v>1.9390698972511566</v>
      </c>
      <c r="P274" s="324">
        <v>1547.3475100864616</v>
      </c>
      <c r="Q274" s="114">
        <v>13.084753709702596</v>
      </c>
      <c r="R274" s="114">
        <v>1926833.0820399607</v>
      </c>
      <c r="S274" s="114">
        <v>0.92471390293474653</v>
      </c>
      <c r="T274" s="114">
        <v>297.77458287327431</v>
      </c>
      <c r="U274" s="114">
        <v>170.52559740820507</v>
      </c>
      <c r="V274" s="114">
        <v>975.8940566855556</v>
      </c>
      <c r="W274" s="114">
        <v>27.754222463776259</v>
      </c>
      <c r="X274" s="114">
        <v>8706258.3951674979</v>
      </c>
      <c r="Y274" s="114">
        <v>0.93631836913203814</v>
      </c>
      <c r="Z274" s="114">
        <v>591.43562210344658</v>
      </c>
      <c r="AA274" s="114">
        <v>38.152934262416046</v>
      </c>
      <c r="AB274" s="114">
        <v>1892157.018082771</v>
      </c>
      <c r="AC274" s="114">
        <v>0.94139794745765959</v>
      </c>
      <c r="AD274" s="114">
        <v>8631216.8763248548</v>
      </c>
      <c r="AE274" s="114">
        <v>0.94369451071572286</v>
      </c>
      <c r="AF274" s="382">
        <v>4.5595285913249208</v>
      </c>
      <c r="AG274" s="163">
        <v>1.0706128832706248E-2</v>
      </c>
      <c r="AH274" s="436">
        <v>4.5615148800958876</v>
      </c>
      <c r="AI274" s="434">
        <v>1.7119162752972348E-2</v>
      </c>
      <c r="AJ274" s="21">
        <v>0</v>
      </c>
      <c r="AL274" s="21">
        <v>0</v>
      </c>
    </row>
    <row r="275" spans="1:38" s="21" customFormat="1" x14ac:dyDescent="0.15">
      <c r="A275" s="113" t="s">
        <v>853</v>
      </c>
      <c r="B275" s="324">
        <v>19644.808076637753</v>
      </c>
      <c r="C275" s="114">
        <v>9.8665140810728066E-2</v>
      </c>
      <c r="D275" s="114">
        <v>33755.846145905518</v>
      </c>
      <c r="E275" s="114">
        <v>6.0618892041815885E-2</v>
      </c>
      <c r="F275" s="114">
        <v>8314.531027117946</v>
      </c>
      <c r="G275" s="114">
        <v>0.86495877620780048</v>
      </c>
      <c r="H275" s="114">
        <v>8314.531027117946</v>
      </c>
      <c r="I275" s="114">
        <v>0.86495877620780048</v>
      </c>
      <c r="J275" s="114">
        <v>74601.129402547231</v>
      </c>
      <c r="K275" s="114">
        <v>5.5154277810541205E-2</v>
      </c>
      <c r="L275" s="114">
        <v>1141.0689059687411</v>
      </c>
      <c r="M275" s="114"/>
      <c r="N275" s="163">
        <v>2.210021016214287</v>
      </c>
      <c r="O275" s="163">
        <v>1.9655068468935042</v>
      </c>
      <c r="P275" s="324">
        <v>1078.0655296652667</v>
      </c>
      <c r="Q275" s="114">
        <v>19.415559186756422</v>
      </c>
      <c r="R275" s="114">
        <v>1803947.6778537934</v>
      </c>
      <c r="S275" s="114">
        <v>1.003557352233468</v>
      </c>
      <c r="T275" s="114">
        <v>1155.8536161916202</v>
      </c>
      <c r="U275" s="114">
        <v>54.788303104323347</v>
      </c>
      <c r="V275" s="114">
        <v>1113.6395003482517</v>
      </c>
      <c r="W275" s="114">
        <v>27.222483050899296</v>
      </c>
      <c r="X275" s="114">
        <v>8149648.7528906176</v>
      </c>
      <c r="Y275" s="114">
        <v>1.0221551009822096</v>
      </c>
      <c r="Z275" s="114">
        <v>796.65375808228089</v>
      </c>
      <c r="AA275" s="114">
        <v>36.678755879150202</v>
      </c>
      <c r="AB275" s="114">
        <v>1769078.1922075397</v>
      </c>
      <c r="AC275" s="114">
        <v>1.0289986895394774</v>
      </c>
      <c r="AD275" s="114">
        <v>8074250.969729987</v>
      </c>
      <c r="AE275" s="114">
        <v>1.0315766953997976</v>
      </c>
      <c r="AF275" s="382">
        <v>4.5606271661606783</v>
      </c>
      <c r="AG275" s="163">
        <v>1.3702214402757118E-2</v>
      </c>
      <c r="AH275" s="436">
        <v>4.5640414139633503</v>
      </c>
      <c r="AI275" s="434">
        <v>1.5966858648105729E-2</v>
      </c>
      <c r="AJ275" s="21">
        <v>0</v>
      </c>
      <c r="AL275" s="21">
        <v>0</v>
      </c>
    </row>
    <row r="276" spans="1:38" s="21" customFormat="1" x14ac:dyDescent="0.15">
      <c r="A276" s="113" t="s">
        <v>854</v>
      </c>
      <c r="B276" s="324">
        <v>19558.400671270421</v>
      </c>
      <c r="C276" s="114">
        <v>0.11988082472084186</v>
      </c>
      <c r="D276" s="114">
        <v>33891.507157986256</v>
      </c>
      <c r="E276" s="114">
        <v>6.3357108580997398E-2</v>
      </c>
      <c r="F276" s="114">
        <v>8411.1682983322116</v>
      </c>
      <c r="G276" s="114">
        <v>0.98330294256458139</v>
      </c>
      <c r="H276" s="114">
        <v>8411.1682983322116</v>
      </c>
      <c r="I276" s="114">
        <v>0.98330294256458139</v>
      </c>
      <c r="J276" s="114">
        <v>74852.373564558555</v>
      </c>
      <c r="K276" s="114">
        <v>4.8276363845258019E-2</v>
      </c>
      <c r="L276" s="114">
        <v>1519.1547239026797</v>
      </c>
      <c r="M276" s="114"/>
      <c r="N276" s="163">
        <v>2.208587927814246</v>
      </c>
      <c r="O276" s="163">
        <v>1.9600980892283009</v>
      </c>
      <c r="P276" s="324">
        <v>1548.9007809197326</v>
      </c>
      <c r="Q276" s="114">
        <v>12.224088656383913</v>
      </c>
      <c r="R276" s="114">
        <v>1577866.2749777425</v>
      </c>
      <c r="S276" s="114">
        <v>0.81960126855930648</v>
      </c>
      <c r="T276" s="114">
        <v>1349.3568807639679</v>
      </c>
      <c r="U276" s="114">
        <v>46.835201094660697</v>
      </c>
      <c r="V276" s="114">
        <v>1457.6455621439795</v>
      </c>
      <c r="W276" s="114">
        <v>19.745708474797986</v>
      </c>
      <c r="X276" s="114">
        <v>7108690.2033356111</v>
      </c>
      <c r="Y276" s="114">
        <v>0.82863143134340445</v>
      </c>
      <c r="Z276" s="114">
        <v>555.40546223232639</v>
      </c>
      <c r="AA276" s="114">
        <v>33.400320268892479</v>
      </c>
      <c r="AB276" s="114">
        <v>1542517.1222576126</v>
      </c>
      <c r="AC276" s="114">
        <v>0.83838918664416717</v>
      </c>
      <c r="AD276" s="114">
        <v>7033282.4243088206</v>
      </c>
      <c r="AE276" s="114">
        <v>0.83768619645903286</v>
      </c>
      <c r="AF276" s="382">
        <v>4.5558632664610155</v>
      </c>
      <c r="AG276" s="163">
        <v>1.3555934557528888E-2</v>
      </c>
      <c r="AH276" s="436">
        <v>4.5596478050218368</v>
      </c>
      <c r="AI276" s="434">
        <v>2.2478481836376303E-2</v>
      </c>
      <c r="AJ276" s="21">
        <v>0</v>
      </c>
      <c r="AL276" s="21">
        <v>0</v>
      </c>
    </row>
    <row r="277" spans="1:38" s="21" customFormat="1" x14ac:dyDescent="0.15">
      <c r="A277" s="113" t="s">
        <v>855</v>
      </c>
      <c r="B277" s="324">
        <v>19742.753338474162</v>
      </c>
      <c r="C277" s="114">
        <v>0.12132471671908701</v>
      </c>
      <c r="D277" s="114">
        <v>33881.031378322703</v>
      </c>
      <c r="E277" s="114">
        <v>6.8625609445070193E-2</v>
      </c>
      <c r="F277" s="114">
        <v>9314.2859729813663</v>
      </c>
      <c r="G277" s="114">
        <v>0.84600216514959792</v>
      </c>
      <c r="H277" s="114">
        <v>9314.2859729813663</v>
      </c>
      <c r="I277" s="114">
        <v>0.84600216514959792</v>
      </c>
      <c r="J277" s="114">
        <v>74341.435965207449</v>
      </c>
      <c r="K277" s="114">
        <v>5.4368643279273259E-2</v>
      </c>
      <c r="L277" s="114">
        <v>817.01585713707561</v>
      </c>
      <c r="M277" s="114"/>
      <c r="N277" s="163">
        <v>2.1941904641300729</v>
      </c>
      <c r="O277" s="163">
        <v>1.9123011360739195</v>
      </c>
      <c r="P277" s="324">
        <v>1624.5830364182543</v>
      </c>
      <c r="Q277" s="114">
        <v>12.127653104883116</v>
      </c>
      <c r="R277" s="114">
        <v>1829332.9329716519</v>
      </c>
      <c r="S277" s="114">
        <v>0.75017141363757378</v>
      </c>
      <c r="T277" s="114">
        <v>-135.25100180403462</v>
      </c>
      <c r="U277" s="114">
        <v>-391.90986150224057</v>
      </c>
      <c r="V277" s="114">
        <v>819.7774771321458</v>
      </c>
      <c r="W277" s="114">
        <v>31.18843049575905</v>
      </c>
      <c r="X277" s="114">
        <v>8264322.9926910559</v>
      </c>
      <c r="Y277" s="114">
        <v>0.75764438607468287</v>
      </c>
      <c r="Z277" s="114">
        <v>1639.8951284402319</v>
      </c>
      <c r="AA277" s="114">
        <v>12.414240366261849</v>
      </c>
      <c r="AB277" s="114">
        <v>1794632.1241161972</v>
      </c>
      <c r="AC277" s="114">
        <v>0.76464538591187892</v>
      </c>
      <c r="AD277" s="114">
        <v>8188341.6615974102</v>
      </c>
      <c r="AE277" s="114">
        <v>0.76430483319749198</v>
      </c>
      <c r="AF277" s="382">
        <v>4.5608680974328637</v>
      </c>
      <c r="AG277" s="163">
        <v>1.2568295028250909E-2</v>
      </c>
      <c r="AH277" s="436">
        <v>4.5627043186176977</v>
      </c>
      <c r="AI277" s="434">
        <v>1.8391210484138679E-2</v>
      </c>
      <c r="AJ277" s="21">
        <v>0</v>
      </c>
      <c r="AL277" s="21">
        <v>0</v>
      </c>
    </row>
    <row r="278" spans="1:38" s="21" customFormat="1" x14ac:dyDescent="0.15">
      <c r="A278" s="113" t="s">
        <v>856</v>
      </c>
      <c r="B278" s="324">
        <v>19607.299729583399</v>
      </c>
      <c r="C278" s="114">
        <v>0.11331038079923959</v>
      </c>
      <c r="D278" s="114">
        <v>33963.235749720377</v>
      </c>
      <c r="E278" s="114">
        <v>6.7959417865944324E-2</v>
      </c>
      <c r="F278" s="114">
        <v>18375.262578975824</v>
      </c>
      <c r="G278" s="114">
        <v>0.10918866463025409</v>
      </c>
      <c r="H278" s="114">
        <v>18375.262578975824</v>
      </c>
      <c r="I278" s="114">
        <v>0.10918866463025409</v>
      </c>
      <c r="J278" s="114">
        <v>74977.202639015319</v>
      </c>
      <c r="K278" s="114">
        <v>6.0408949913906683E-2</v>
      </c>
      <c r="L278" s="114">
        <v>548.78347128198425</v>
      </c>
      <c r="M278" s="114"/>
      <c r="N278" s="163">
        <v>2.207598922303291</v>
      </c>
      <c r="O278" s="163">
        <v>1.9072721861146968</v>
      </c>
      <c r="P278" s="324">
        <v>672.44552173512147</v>
      </c>
      <c r="Q278" s="114">
        <v>24.656928648097622</v>
      </c>
      <c r="R278" s="114">
        <v>1994697.6169156637</v>
      </c>
      <c r="S278" s="114">
        <v>0.86122919930274755</v>
      </c>
      <c r="T278" s="114">
        <v>395.20671455575314</v>
      </c>
      <c r="U278" s="114">
        <v>39.972162814768325</v>
      </c>
      <c r="V278" s="114">
        <v>545.65894503428967</v>
      </c>
      <c r="W278" s="114">
        <v>21.343755066335167</v>
      </c>
      <c r="X278" s="114">
        <v>9040911.2821442429</v>
      </c>
      <c r="Y278" s="114">
        <v>0.86744626146916692</v>
      </c>
      <c r="Z278" s="114">
        <v>738.46179065119429</v>
      </c>
      <c r="AA278" s="114">
        <v>22.105087237264218</v>
      </c>
      <c r="AB278" s="114">
        <v>1960188.7222209086</v>
      </c>
      <c r="AC278" s="114">
        <v>0.8763606950088465</v>
      </c>
      <c r="AD278" s="114">
        <v>8965195.6177145764</v>
      </c>
      <c r="AE278" s="114">
        <v>0.87480575619172296</v>
      </c>
      <c r="AF278" s="382">
        <v>4.5728025434102317</v>
      </c>
      <c r="AG278" s="163">
        <v>1.4201027552618199E-2</v>
      </c>
      <c r="AH278" s="436">
        <v>4.5737096128917782</v>
      </c>
      <c r="AI278" s="434">
        <v>1.4865591175233268E-2</v>
      </c>
      <c r="AJ278" s="21">
        <v>0</v>
      </c>
      <c r="AL278" s="21">
        <v>0</v>
      </c>
    </row>
    <row r="279" spans="1:38" s="21" customFormat="1" x14ac:dyDescent="0.15">
      <c r="A279" s="113" t="s">
        <v>857</v>
      </c>
      <c r="B279" s="324">
        <v>19663.23010604726</v>
      </c>
      <c r="C279" s="114">
        <v>0.11147971328031268</v>
      </c>
      <c r="D279" s="114">
        <v>34007.384985956458</v>
      </c>
      <c r="E279" s="114">
        <v>5.4456044966083132E-2</v>
      </c>
      <c r="F279" s="114">
        <v>18176.252038114995</v>
      </c>
      <c r="G279" s="114">
        <v>9.8495295959874385E-2</v>
      </c>
      <c r="H279" s="114">
        <v>18176.252038114995</v>
      </c>
      <c r="I279" s="114">
        <v>9.8495295959874385E-2</v>
      </c>
      <c r="J279" s="114">
        <v>75378.388867995382</v>
      </c>
      <c r="K279" s="114">
        <v>4.5748496875751499E-2</v>
      </c>
      <c r="L279" s="114">
        <v>661.61937290049559</v>
      </c>
      <c r="M279" s="114"/>
      <c r="N279" s="163">
        <v>2.2165299948562147</v>
      </c>
      <c r="O279" s="163">
        <v>1.94248834182172</v>
      </c>
      <c r="P279" s="324">
        <v>746.61566683324497</v>
      </c>
      <c r="Q279" s="114">
        <v>23.08328932005919</v>
      </c>
      <c r="R279" s="114">
        <v>1553522.0599836698</v>
      </c>
      <c r="S279" s="114">
        <v>0.80266018833202879</v>
      </c>
      <c r="T279" s="114">
        <v>536.50627011442828</v>
      </c>
      <c r="U279" s="114">
        <v>30.164942195902039</v>
      </c>
      <c r="V279" s="114">
        <v>650.52864563414994</v>
      </c>
      <c r="W279" s="114">
        <v>15.155813211686125</v>
      </c>
      <c r="X279" s="114">
        <v>7022820.1921397252</v>
      </c>
      <c r="Y279" s="114">
        <v>0.81401617265530291</v>
      </c>
      <c r="Z279" s="114">
        <v>1649.460845524274</v>
      </c>
      <c r="AA279" s="114">
        <v>14.69383841725811</v>
      </c>
      <c r="AB279" s="114">
        <v>1518864.1463520799</v>
      </c>
      <c r="AC279" s="114">
        <v>0.82080774014778912</v>
      </c>
      <c r="AD279" s="114">
        <v>6945792.3424262097</v>
      </c>
      <c r="AE279" s="114">
        <v>0.82367027344817967</v>
      </c>
      <c r="AF279" s="382">
        <v>4.5712540952808114</v>
      </c>
      <c r="AG279" s="163">
        <v>1.6271028417416004E-2</v>
      </c>
      <c r="AH279" s="436">
        <v>4.5729461341506372</v>
      </c>
      <c r="AI279" s="434">
        <v>1.6059352103330933E-2</v>
      </c>
      <c r="AJ279" s="21">
        <v>0</v>
      </c>
      <c r="AL279" s="21">
        <v>0</v>
      </c>
    </row>
    <row r="280" spans="1:38" s="21" customFormat="1" x14ac:dyDescent="0.15">
      <c r="A280" s="113" t="s">
        <v>858</v>
      </c>
      <c r="B280" s="324">
        <v>19681.826728614869</v>
      </c>
      <c r="C280" s="114">
        <v>0.12019655757144303</v>
      </c>
      <c r="D280" s="114">
        <v>34062.006011632984</v>
      </c>
      <c r="E280" s="114">
        <v>5.3923030055615259E-2</v>
      </c>
      <c r="F280" s="114">
        <v>18248.444895473374</v>
      </c>
      <c r="G280" s="114">
        <v>0.10936252225594643</v>
      </c>
      <c r="H280" s="114">
        <v>18248.444895473374</v>
      </c>
      <c r="I280" s="114">
        <v>0.10936252225594643</v>
      </c>
      <c r="J280" s="114">
        <v>75146.706315733914</v>
      </c>
      <c r="K280" s="114">
        <v>4.9218512625671874E-2</v>
      </c>
      <c r="L280" s="114">
        <v>639.58972411982927</v>
      </c>
      <c r="M280" s="114"/>
      <c r="N280" s="163">
        <v>2.2061738316313351</v>
      </c>
      <c r="O280" s="163">
        <v>1.923984299525731</v>
      </c>
      <c r="P280" s="324">
        <v>594.23408634741236</v>
      </c>
      <c r="Q280" s="114">
        <v>29.281247418870937</v>
      </c>
      <c r="R280" s="114">
        <v>1776943.6451963927</v>
      </c>
      <c r="S280" s="114">
        <v>0.84090392326973762</v>
      </c>
      <c r="T280" s="114">
        <v>643.19326424370172</v>
      </c>
      <c r="U280" s="114">
        <v>25.493041270993974</v>
      </c>
      <c r="V280" s="114">
        <v>616.62404909004363</v>
      </c>
      <c r="W280" s="114">
        <v>19.982974426070562</v>
      </c>
      <c r="X280" s="114">
        <v>8041357.4881433779</v>
      </c>
      <c r="Y280" s="114">
        <v>0.84654052425969706</v>
      </c>
      <c r="Z280" s="114">
        <v>1086.0100843525831</v>
      </c>
      <c r="AA280" s="114">
        <v>20.130324605426924</v>
      </c>
      <c r="AB280" s="114">
        <v>1742265.0151356694</v>
      </c>
      <c r="AC280" s="114">
        <v>0.85760712696336272</v>
      </c>
      <c r="AD280" s="114">
        <v>7965124.7717432892</v>
      </c>
      <c r="AE280" s="114">
        <v>0.85471016490309248</v>
      </c>
      <c r="AF280" s="382">
        <v>4.5705148232958388</v>
      </c>
      <c r="AG280" s="163">
        <v>1.1211642879614641E-2</v>
      </c>
      <c r="AH280" s="436">
        <v>4.5718095612891689</v>
      </c>
      <c r="AI280" s="434">
        <v>1.3524962207532567E-2</v>
      </c>
      <c r="AJ280" s="21">
        <v>0</v>
      </c>
      <c r="AL280" s="21">
        <v>0</v>
      </c>
    </row>
    <row r="281" spans="1:38" s="21" customFormat="1" x14ac:dyDescent="0.15">
      <c r="A281" s="113" t="s">
        <v>859</v>
      </c>
      <c r="B281" s="324">
        <v>19677.44394268683</v>
      </c>
      <c r="C281" s="114">
        <v>0.10625614850229272</v>
      </c>
      <c r="D281" s="114">
        <v>34047.627425232953</v>
      </c>
      <c r="E281" s="114">
        <v>5.2347516808804298E-2</v>
      </c>
      <c r="F281" s="114">
        <v>18357.444502869253</v>
      </c>
      <c r="G281" s="114">
        <v>0.10602648751906101</v>
      </c>
      <c r="H281" s="114">
        <v>18357.444502869253</v>
      </c>
      <c r="I281" s="114">
        <v>0.10602648751906101</v>
      </c>
      <c r="J281" s="114">
        <v>75155.166050597632</v>
      </c>
      <c r="K281" s="114">
        <v>4.7971705422392631E-2</v>
      </c>
      <c r="L281" s="114">
        <v>690.39772548754559</v>
      </c>
      <c r="M281" s="114"/>
      <c r="N281" s="163">
        <v>2.207353984227975</v>
      </c>
      <c r="O281" s="163">
        <v>1.8997147112354262</v>
      </c>
      <c r="P281" s="324">
        <v>656.37088566105081</v>
      </c>
      <c r="Q281" s="114">
        <v>22.692746355845411</v>
      </c>
      <c r="R281" s="114">
        <v>1728525.6400239461</v>
      </c>
      <c r="S281" s="114">
        <v>1.1860261800658496</v>
      </c>
      <c r="T281" s="114">
        <v>681.20786786066435</v>
      </c>
      <c r="U281" s="114">
        <v>24.813132490565184</v>
      </c>
      <c r="V281" s="114">
        <v>667.72930976013845</v>
      </c>
      <c r="W281" s="114">
        <v>15.173621832728097</v>
      </c>
      <c r="X281" s="114">
        <v>7820495.0412569288</v>
      </c>
      <c r="Y281" s="114">
        <v>1.2039848754743858</v>
      </c>
      <c r="Z281" s="114">
        <v>468.96768896006608</v>
      </c>
      <c r="AA281" s="114">
        <v>49.877140569425393</v>
      </c>
      <c r="AB281" s="114">
        <v>1693810.2832889534</v>
      </c>
      <c r="AC281" s="114">
        <v>1.2103823839149692</v>
      </c>
      <c r="AD281" s="114">
        <v>7744870.9075173698</v>
      </c>
      <c r="AE281" s="114">
        <v>1.2160812813978052</v>
      </c>
      <c r="AF281" s="382">
        <v>4.5703238865657054</v>
      </c>
      <c r="AG281" s="163">
        <v>1.7608566624759646E-2</v>
      </c>
      <c r="AH281" s="436">
        <v>4.5721606718512229</v>
      </c>
      <c r="AI281" s="434">
        <v>1.8225403758013726E-2</v>
      </c>
      <c r="AJ281" s="21">
        <v>0</v>
      </c>
      <c r="AL281" s="21">
        <v>0</v>
      </c>
    </row>
    <row r="282" spans="1:38" s="21" customFormat="1" x14ac:dyDescent="0.15">
      <c r="A282" s="113" t="s">
        <v>860</v>
      </c>
      <c r="B282" s="324">
        <v>19804.621889046619</v>
      </c>
      <c r="C282" s="114">
        <v>0.11870373403599566</v>
      </c>
      <c r="D282" s="114">
        <v>33736.877421703532</v>
      </c>
      <c r="E282" s="114">
        <v>5.9040835979650437E-2</v>
      </c>
      <c r="F282" s="114">
        <v>18177.175506290863</v>
      </c>
      <c r="G282" s="114">
        <v>0.1107312014073977</v>
      </c>
      <c r="H282" s="114">
        <v>18177.175506290863</v>
      </c>
      <c r="I282" s="114">
        <v>0.1107312014073977</v>
      </c>
      <c r="J282" s="114">
        <v>74454.829890018184</v>
      </c>
      <c r="K282" s="114">
        <v>5.1724280595707502E-2</v>
      </c>
      <c r="L282" s="114">
        <v>791.66527890290445</v>
      </c>
      <c r="M282" s="114"/>
      <c r="N282" s="163">
        <v>2.2069271248595186</v>
      </c>
      <c r="O282" s="163">
        <v>1.9133860180407178</v>
      </c>
      <c r="P282" s="324">
        <v>785.58152975210044</v>
      </c>
      <c r="Q282" s="114">
        <v>24.967097944544371</v>
      </c>
      <c r="R282" s="114">
        <v>1659101.8610839969</v>
      </c>
      <c r="S282" s="114">
        <v>1.1550664189547744</v>
      </c>
      <c r="T282" s="114">
        <v>849.48162384981879</v>
      </c>
      <c r="U282" s="114">
        <v>21.33699720822468</v>
      </c>
      <c r="V282" s="114">
        <v>814.80425749334722</v>
      </c>
      <c r="W282" s="114">
        <v>18.136983755215965</v>
      </c>
      <c r="X282" s="114">
        <v>7504493.2072043465</v>
      </c>
      <c r="Y282" s="114">
        <v>1.1669599296266895</v>
      </c>
      <c r="Z282" s="114">
        <v>68.937391002094415</v>
      </c>
      <c r="AA282" s="114">
        <v>332.99353915876287</v>
      </c>
      <c r="AB282" s="114">
        <v>1624550.1794048001</v>
      </c>
      <c r="AC282" s="114">
        <v>1.1808272985839277</v>
      </c>
      <c r="AD282" s="114">
        <v>7429969.4399233265</v>
      </c>
      <c r="AE282" s="114">
        <v>1.1782159474761329</v>
      </c>
      <c r="AF282" s="382">
        <v>4.5710023042575587</v>
      </c>
      <c r="AG282" s="163">
        <v>1.2366222541503061E-2</v>
      </c>
      <c r="AH282" s="436">
        <v>4.5736756463374739</v>
      </c>
      <c r="AI282" s="434">
        <v>1.2483746585728902E-2</v>
      </c>
      <c r="AJ282" s="21">
        <v>0</v>
      </c>
      <c r="AL282" s="21">
        <v>0</v>
      </c>
    </row>
    <row r="283" spans="1:38" s="21" customFormat="1" x14ac:dyDescent="0.15">
      <c r="A283" s="113" t="s">
        <v>861</v>
      </c>
      <c r="B283" s="324">
        <v>19798.037159255506</v>
      </c>
      <c r="C283" s="114">
        <v>9.2376023894536821E-2</v>
      </c>
      <c r="D283" s="114">
        <v>34057.467794047559</v>
      </c>
      <c r="E283" s="114">
        <v>9.0554003753464993E-2</v>
      </c>
      <c r="F283" s="114">
        <v>18327.823847411284</v>
      </c>
      <c r="G283" s="114">
        <v>0.12015506151867494</v>
      </c>
      <c r="H283" s="114">
        <v>18327.823847411284</v>
      </c>
      <c r="I283" s="114">
        <v>0.12015506151867494</v>
      </c>
      <c r="J283" s="114">
        <v>75306.138414295521</v>
      </c>
      <c r="K283" s="114">
        <v>0.15825911299306133</v>
      </c>
      <c r="L283" s="114">
        <v>724.41503407368509</v>
      </c>
      <c r="M283" s="114"/>
      <c r="N283" s="163">
        <v>2.2111490751363863</v>
      </c>
      <c r="O283" s="163">
        <v>1.8960341753180885</v>
      </c>
      <c r="P283" s="324">
        <v>923.76499237448036</v>
      </c>
      <c r="Q283" s="114">
        <v>19.047377745560546</v>
      </c>
      <c r="R283" s="114">
        <v>1640267.1318130745</v>
      </c>
      <c r="S283" s="114">
        <v>0.97940116643777264</v>
      </c>
      <c r="T283" s="114">
        <v>818.50008909059397</v>
      </c>
      <c r="U283" s="114">
        <v>22.731791163054687</v>
      </c>
      <c r="V283" s="114">
        <v>875.62535106707355</v>
      </c>
      <c r="W283" s="114">
        <v>14.669195437912308</v>
      </c>
      <c r="X283" s="114">
        <v>7419946.6294323048</v>
      </c>
      <c r="Y283" s="114">
        <v>0.98966667690464771</v>
      </c>
      <c r="Z283" s="114">
        <v>-583.59372957987341</v>
      </c>
      <c r="AA283" s="114">
        <v>-40.480402360095709</v>
      </c>
      <c r="AB283" s="114">
        <v>1605334.0386679599</v>
      </c>
      <c r="AC283" s="114">
        <v>1.0013692019359259</v>
      </c>
      <c r="AD283" s="114">
        <v>7345224.0847475883</v>
      </c>
      <c r="AE283" s="114">
        <v>0.99981290114026677</v>
      </c>
      <c r="AF283" s="382">
        <v>4.5720648043942198</v>
      </c>
      <c r="AG283" s="163">
        <v>1.438727574714229E-2</v>
      </c>
      <c r="AH283" s="436">
        <v>4.5755686976937175</v>
      </c>
      <c r="AI283" s="434">
        <v>1.4962417282410425E-2</v>
      </c>
      <c r="AJ283" s="21">
        <v>0</v>
      </c>
      <c r="AL283" s="21">
        <v>0</v>
      </c>
    </row>
    <row r="284" spans="1:38" s="21" customFormat="1" x14ac:dyDescent="0.15">
      <c r="A284" s="113" t="s">
        <v>862</v>
      </c>
      <c r="B284" s="324">
        <v>19968.390175583278</v>
      </c>
      <c r="C284" s="114">
        <v>0.12017635128885455</v>
      </c>
      <c r="D284" s="114">
        <v>33897.012062276874</v>
      </c>
      <c r="E284" s="114">
        <v>6.4748005730473068E-2</v>
      </c>
      <c r="F284" s="114">
        <v>18447.623808828179</v>
      </c>
      <c r="G284" s="114">
        <v>0.10995912284212213</v>
      </c>
      <c r="H284" s="114">
        <v>18447.623808828179</v>
      </c>
      <c r="I284" s="114">
        <v>0.10995912284212213</v>
      </c>
      <c r="J284" s="114">
        <v>74429.9615434968</v>
      </c>
      <c r="K284" s="114">
        <v>5.3192950212524383E-2</v>
      </c>
      <c r="L284" s="114">
        <v>628.23075419830889</v>
      </c>
      <c r="M284" s="114"/>
      <c r="N284" s="163">
        <v>2.1957676212508423</v>
      </c>
      <c r="O284" s="163">
        <v>1.8807443030897524</v>
      </c>
      <c r="P284" s="324">
        <v>712.07031228581729</v>
      </c>
      <c r="Q284" s="114">
        <v>23.803529994496131</v>
      </c>
      <c r="R284" s="114">
        <v>1712151.5232431553</v>
      </c>
      <c r="S284" s="114">
        <v>0.76426478225994954</v>
      </c>
      <c r="T284" s="114">
        <v>499.79012696526291</v>
      </c>
      <c r="U284" s="114">
        <v>33.458366566242908</v>
      </c>
      <c r="V284" s="114">
        <v>614.99054819348999</v>
      </c>
      <c r="W284" s="114">
        <v>20.130814193489435</v>
      </c>
      <c r="X284" s="114">
        <v>7748899.6265427461</v>
      </c>
      <c r="Y284" s="114">
        <v>0.77397006755917497</v>
      </c>
      <c r="Z284" s="114">
        <v>568.20685538175303</v>
      </c>
      <c r="AA284" s="114">
        <v>43.585502973057018</v>
      </c>
      <c r="AB284" s="114">
        <v>1677639.520632687</v>
      </c>
      <c r="AC284" s="114">
        <v>0.78059504594864437</v>
      </c>
      <c r="AD284" s="114">
        <v>7673901.4581438694</v>
      </c>
      <c r="AE284" s="114">
        <v>0.78100951415821751</v>
      </c>
      <c r="AF284" s="382">
        <v>4.5726644343795222</v>
      </c>
      <c r="AG284" s="163">
        <v>1.3977644047458602E-2</v>
      </c>
      <c r="AH284" s="436">
        <v>4.5742144368638256</v>
      </c>
      <c r="AI284" s="434">
        <v>1.3386336875588611E-2</v>
      </c>
      <c r="AJ284" s="21">
        <v>0</v>
      </c>
      <c r="AL284" s="21">
        <v>0</v>
      </c>
    </row>
    <row r="285" spans="1:38" s="21" customFormat="1" x14ac:dyDescent="0.15">
      <c r="A285" s="113" t="s">
        <v>863</v>
      </c>
      <c r="B285" s="324">
        <v>20146.589148161074</v>
      </c>
      <c r="C285" s="114">
        <v>9.9442895600970568E-2</v>
      </c>
      <c r="D285" s="114">
        <v>34230.783567351646</v>
      </c>
      <c r="E285" s="114">
        <v>0.10786612861022693</v>
      </c>
      <c r="F285" s="114">
        <v>18472.269863322315</v>
      </c>
      <c r="G285" s="114">
        <v>0.10966226383417237</v>
      </c>
      <c r="H285" s="114">
        <v>18472.269863322315</v>
      </c>
      <c r="I285" s="114">
        <v>0.10966226383417237</v>
      </c>
      <c r="J285" s="114">
        <v>75903.564191919868</v>
      </c>
      <c r="K285" s="114">
        <v>0.18197693126375342</v>
      </c>
      <c r="L285" s="114">
        <v>673.48129356745574</v>
      </c>
      <c r="M285" s="114"/>
      <c r="N285" s="163">
        <v>2.2174065645495342</v>
      </c>
      <c r="O285" s="163">
        <v>1.9268310434043194</v>
      </c>
      <c r="P285" s="324">
        <v>631.64272571057234</v>
      </c>
      <c r="Q285" s="114">
        <v>26.903111064974116</v>
      </c>
      <c r="R285" s="114">
        <v>1619957.53930271</v>
      </c>
      <c r="S285" s="114">
        <v>0.86897842829867156</v>
      </c>
      <c r="T285" s="114">
        <v>842.96483001064109</v>
      </c>
      <c r="U285" s="114">
        <v>20.059985516137591</v>
      </c>
      <c r="V285" s="114">
        <v>728.28434113956769</v>
      </c>
      <c r="W285" s="114">
        <v>18.63317324019415</v>
      </c>
      <c r="X285" s="114">
        <v>7325363.2499899808</v>
      </c>
      <c r="Y285" s="114">
        <v>0.87870580304987844</v>
      </c>
      <c r="Z285" s="114">
        <v>946.55186726778072</v>
      </c>
      <c r="AA285" s="114">
        <v>20.092636339615336</v>
      </c>
      <c r="AB285" s="114">
        <v>1584998.4713942187</v>
      </c>
      <c r="AC285" s="114">
        <v>0.88863312148643614</v>
      </c>
      <c r="AD285" s="114">
        <v>7248513.1339307949</v>
      </c>
      <c r="AE285" s="114">
        <v>0.8875805702107924</v>
      </c>
      <c r="AF285" s="382">
        <v>4.5701642132796723</v>
      </c>
      <c r="AG285" s="163">
        <v>1.1354524978107398E-2</v>
      </c>
      <c r="AH285" s="436">
        <v>4.573237588076716</v>
      </c>
      <c r="AI285" s="434">
        <v>1.5574509777005387E-2</v>
      </c>
      <c r="AJ285" s="21">
        <v>0</v>
      </c>
      <c r="AL285" s="21">
        <v>0</v>
      </c>
    </row>
    <row r="286" spans="1:38" s="21" customFormat="1" x14ac:dyDescent="0.15">
      <c r="A286" s="113" t="s">
        <v>864</v>
      </c>
      <c r="B286" s="324">
        <v>20061.526148477307</v>
      </c>
      <c r="C286" s="114">
        <v>0.11191729039800059</v>
      </c>
      <c r="D286" s="114">
        <v>34319.937315150753</v>
      </c>
      <c r="E286" s="114">
        <v>0.10692032196202461</v>
      </c>
      <c r="F286" s="114">
        <v>18476.619375208524</v>
      </c>
      <c r="G286" s="114">
        <v>0.11054626896812435</v>
      </c>
      <c r="H286" s="114">
        <v>18476.619375208524</v>
      </c>
      <c r="I286" s="114">
        <v>0.11054626896812435</v>
      </c>
      <c r="J286" s="114">
        <v>75676.896126402411</v>
      </c>
      <c r="K286" s="114">
        <v>0.17365032658819229</v>
      </c>
      <c r="L286" s="114">
        <v>850.40408230329888</v>
      </c>
      <c r="M286" s="114"/>
      <c r="N286" s="163">
        <v>2.2050417933891264</v>
      </c>
      <c r="O286" s="163">
        <v>1.9288938110079046</v>
      </c>
      <c r="P286" s="324">
        <v>676.61909218560515</v>
      </c>
      <c r="Q286" s="114">
        <v>24.599955372730669</v>
      </c>
      <c r="R286" s="114">
        <v>1789331.6298089128</v>
      </c>
      <c r="S286" s="114">
        <v>1.0003915669652212</v>
      </c>
      <c r="T286" s="114">
        <v>976.88994511504779</v>
      </c>
      <c r="U286" s="114">
        <v>21.111362203863035</v>
      </c>
      <c r="V286" s="114">
        <v>813.9386612361684</v>
      </c>
      <c r="W286" s="114">
        <v>15.274976898897405</v>
      </c>
      <c r="X286" s="114">
        <v>8100601.9773576232</v>
      </c>
      <c r="Y286" s="114">
        <v>1.010278850990193</v>
      </c>
      <c r="Z286" s="114">
        <v>747.94630361339728</v>
      </c>
      <c r="AA286" s="114">
        <v>27.122958236481661</v>
      </c>
      <c r="AB286" s="114">
        <v>1754197.753832526</v>
      </c>
      <c r="AC286" s="114">
        <v>1.0202326781448106</v>
      </c>
      <c r="AD286" s="114">
        <v>8024177.1349276118</v>
      </c>
      <c r="AE286" s="114">
        <v>1.0195191952540241</v>
      </c>
      <c r="AF286" s="382">
        <v>4.571806385055317</v>
      </c>
      <c r="AG286" s="163">
        <v>1.4366810467803044E-2</v>
      </c>
      <c r="AH286" s="436">
        <v>4.5743045517455005</v>
      </c>
      <c r="AI286" s="434">
        <v>1.6095015806720733E-2</v>
      </c>
      <c r="AJ286" s="21">
        <v>0</v>
      </c>
      <c r="AL286" s="21">
        <v>0</v>
      </c>
    </row>
    <row r="287" spans="1:38" s="21" customFormat="1" x14ac:dyDescent="0.15">
      <c r="A287" s="113" t="s">
        <v>865</v>
      </c>
      <c r="B287" s="324">
        <v>20232.844718967739</v>
      </c>
      <c r="C287" s="114">
        <v>0.11253677344307099</v>
      </c>
      <c r="D287" s="114">
        <v>34505.909661351521</v>
      </c>
      <c r="E287" s="114">
        <v>0.12201414246382387</v>
      </c>
      <c r="F287" s="114">
        <v>18599.124328160422</v>
      </c>
      <c r="G287" s="114">
        <v>0.10801547847855307</v>
      </c>
      <c r="H287" s="114">
        <v>18599.124328160422</v>
      </c>
      <c r="I287" s="114">
        <v>0.10801547847855307</v>
      </c>
      <c r="J287" s="114">
        <v>76595.678229213416</v>
      </c>
      <c r="K287" s="114">
        <v>0.22861977945464806</v>
      </c>
      <c r="L287" s="114">
        <v>494.23448543210674</v>
      </c>
      <c r="M287" s="114"/>
      <c r="N287" s="163">
        <v>2.2197843494328944</v>
      </c>
      <c r="O287" s="163">
        <v>1.8743452737779915</v>
      </c>
      <c r="P287" s="324">
        <v>462.48519896678255</v>
      </c>
      <c r="Q287" s="114">
        <v>38.018284605138803</v>
      </c>
      <c r="R287" s="114">
        <v>1590087.2583186699</v>
      </c>
      <c r="S287" s="114">
        <v>0.86659589200435816</v>
      </c>
      <c r="T287" s="114">
        <v>585.92824743735378</v>
      </c>
      <c r="U287" s="114">
        <v>25.968429530507994</v>
      </c>
      <c r="V287" s="114">
        <v>518.93805162594413</v>
      </c>
      <c r="W287" s="114">
        <v>21.360283440390752</v>
      </c>
      <c r="X287" s="114">
        <v>7186569.9069942757</v>
      </c>
      <c r="Y287" s="114">
        <v>0.87718079780983682</v>
      </c>
      <c r="Z287" s="114">
        <v>-564.87409607709742</v>
      </c>
      <c r="AA287" s="114">
        <v>-41.6589110589345</v>
      </c>
      <c r="AB287" s="114">
        <v>1555062.410605693</v>
      </c>
      <c r="AC287" s="114">
        <v>0.88599165785571132</v>
      </c>
      <c r="AD287" s="114">
        <v>7110539.1028611362</v>
      </c>
      <c r="AE287" s="114">
        <v>0.88795572742339679</v>
      </c>
      <c r="AF287" s="382">
        <v>4.5706078285770468</v>
      </c>
      <c r="AG287" s="163">
        <v>1.2110634616647737E-2</v>
      </c>
      <c r="AH287" s="436">
        <v>4.5724490087784604</v>
      </c>
      <c r="AI287" s="434">
        <v>1.3086670336524943E-2</v>
      </c>
      <c r="AJ287" s="21">
        <v>0</v>
      </c>
      <c r="AL287" s="21">
        <v>0</v>
      </c>
    </row>
    <row r="288" spans="1:38" s="21" customFormat="1" x14ac:dyDescent="0.15">
      <c r="A288" s="113" t="s">
        <v>866</v>
      </c>
      <c r="B288" s="324">
        <v>20179.409481265709</v>
      </c>
      <c r="C288" s="114">
        <v>0.10327688870950467</v>
      </c>
      <c r="D288" s="114">
        <v>34266.462515199601</v>
      </c>
      <c r="E288" s="114">
        <v>6.1669002097804022E-2</v>
      </c>
      <c r="F288" s="114">
        <v>18640.214755636283</v>
      </c>
      <c r="G288" s="114">
        <v>0.10692426336009389</v>
      </c>
      <c r="H288" s="114">
        <v>18640.214755636283</v>
      </c>
      <c r="I288" s="114">
        <v>0.10692426336009389</v>
      </c>
      <c r="J288" s="114">
        <v>75384.756680296428</v>
      </c>
      <c r="K288" s="114">
        <v>4.8267520740130666E-2</v>
      </c>
      <c r="L288" s="114">
        <v>476.86475097003444</v>
      </c>
      <c r="M288" s="114"/>
      <c r="N288" s="163">
        <v>2.199957367844958</v>
      </c>
      <c r="O288" s="163">
        <v>1.9088176324585702</v>
      </c>
      <c r="P288" s="324">
        <v>427.36373132253641</v>
      </c>
      <c r="Q288" s="114">
        <v>42.562659856658698</v>
      </c>
      <c r="R288" s="114">
        <v>1678089.2300388925</v>
      </c>
      <c r="S288" s="114">
        <v>0.80029779792155264</v>
      </c>
      <c r="T288" s="114">
        <v>427.05757315496555</v>
      </c>
      <c r="U288" s="114">
        <v>37.96673767116819</v>
      </c>
      <c r="V288" s="114">
        <v>427.22371937258526</v>
      </c>
      <c r="W288" s="114">
        <v>27.662413544887734</v>
      </c>
      <c r="X288" s="114">
        <v>7591189.5801180406</v>
      </c>
      <c r="Y288" s="114">
        <v>0.80742093008784144</v>
      </c>
      <c r="Z288" s="114">
        <v>534.43307100002642</v>
      </c>
      <c r="AA288" s="114">
        <v>56.482122794548502</v>
      </c>
      <c r="AB288" s="114">
        <v>1643395.5438043189</v>
      </c>
      <c r="AC288" s="114">
        <v>0.81777414510004542</v>
      </c>
      <c r="AD288" s="114">
        <v>7515270.3903667415</v>
      </c>
      <c r="AE288" s="114">
        <v>0.81493157509174174</v>
      </c>
      <c r="AF288" s="382">
        <v>4.5724860792547801</v>
      </c>
      <c r="AG288" s="163">
        <v>1.351523497114351E-2</v>
      </c>
      <c r="AH288" s="436">
        <v>4.573100198779958</v>
      </c>
      <c r="AI288" s="434">
        <v>1.2418208563652533E-2</v>
      </c>
      <c r="AJ288" s="21">
        <v>0</v>
      </c>
      <c r="AL288" s="21">
        <v>0</v>
      </c>
    </row>
    <row r="289" spans="1:38" s="21" customFormat="1" x14ac:dyDescent="0.15">
      <c r="A289" s="113" t="s">
        <v>867</v>
      </c>
      <c r="B289" s="324">
        <v>20020.022413338298</v>
      </c>
      <c r="C289" s="114">
        <v>0.11172410920548399</v>
      </c>
      <c r="D289" s="114">
        <v>34438.76298522234</v>
      </c>
      <c r="E289" s="114">
        <v>4.4786814600092151E-2</v>
      </c>
      <c r="F289" s="114">
        <v>18397.346646244197</v>
      </c>
      <c r="G289" s="114">
        <v>0.11510831439966078</v>
      </c>
      <c r="H289" s="114">
        <v>18397.346646244197</v>
      </c>
      <c r="I289" s="114">
        <v>0.11510831439966078</v>
      </c>
      <c r="J289" s="114">
        <v>75875.250727135135</v>
      </c>
      <c r="K289" s="114">
        <v>5.6904685885894687E-2</v>
      </c>
      <c r="L289" s="114">
        <v>604.04628375919538</v>
      </c>
      <c r="M289" s="114"/>
      <c r="N289" s="163">
        <v>2.2031932668340373</v>
      </c>
      <c r="O289" s="163">
        <v>1.9106298111812137</v>
      </c>
      <c r="P289" s="324">
        <v>456.83805762360242</v>
      </c>
      <c r="Q289" s="114">
        <v>40.874388761516684</v>
      </c>
      <c r="R289" s="114">
        <v>1558659.6866290534</v>
      </c>
      <c r="S289" s="114">
        <v>0.64516293089491683</v>
      </c>
      <c r="T289" s="114">
        <v>607.6505353567436</v>
      </c>
      <c r="U289" s="114">
        <v>31.699602483503238</v>
      </c>
      <c r="V289" s="114">
        <v>525.80747056435428</v>
      </c>
      <c r="W289" s="114">
        <v>25.069478650507115</v>
      </c>
      <c r="X289" s="114">
        <v>7044435.4873841209</v>
      </c>
      <c r="Y289" s="114">
        <v>0.65421009720500223</v>
      </c>
      <c r="Z289" s="114">
        <v>1068.0724764880558</v>
      </c>
      <c r="AA289" s="114">
        <v>23.806951431531477</v>
      </c>
      <c r="AB289" s="114">
        <v>1523695.116173266</v>
      </c>
      <c r="AC289" s="114">
        <v>0.65888931019344366</v>
      </c>
      <c r="AD289" s="114">
        <v>6967492.1641805023</v>
      </c>
      <c r="AE289" s="114">
        <v>0.66217885682618471</v>
      </c>
      <c r="AF289" s="382">
        <v>4.5714213032790996</v>
      </c>
      <c r="AG289" s="163">
        <v>1.4592076073301985E-2</v>
      </c>
      <c r="AH289" s="436">
        <v>4.5726882065078129</v>
      </c>
      <c r="AI289" s="434">
        <v>1.4690208769918545E-2</v>
      </c>
      <c r="AJ289" s="21">
        <v>0</v>
      </c>
      <c r="AL289" s="21">
        <v>0</v>
      </c>
    </row>
    <row r="290" spans="1:38" s="21" customFormat="1" x14ac:dyDescent="0.15">
      <c r="A290" s="113" t="s">
        <v>868</v>
      </c>
      <c r="B290" s="324">
        <v>20003.560077139344</v>
      </c>
      <c r="C290" s="114">
        <v>8.1450749492715163E-2</v>
      </c>
      <c r="D290" s="114">
        <v>34416.902178955141</v>
      </c>
      <c r="E290" s="114">
        <v>5.4816564737391528E-2</v>
      </c>
      <c r="F290" s="114">
        <v>18484.51530644068</v>
      </c>
      <c r="G290" s="114">
        <v>9.3170026710963819E-2</v>
      </c>
      <c r="H290" s="114">
        <v>18484.51530644068</v>
      </c>
      <c r="I290" s="114">
        <v>9.3170026710963819E-2</v>
      </c>
      <c r="J290" s="114">
        <v>75872.090168477458</v>
      </c>
      <c r="K290" s="114">
        <v>4.4949025084498107E-2</v>
      </c>
      <c r="L290" s="114">
        <v>619.51203589259808</v>
      </c>
      <c r="M290" s="114"/>
      <c r="N290" s="163">
        <v>2.2045008517608791</v>
      </c>
      <c r="O290" s="163">
        <v>1.9141243181456487</v>
      </c>
      <c r="P290" s="324">
        <v>611.61852727972803</v>
      </c>
      <c r="Q290" s="114">
        <v>28.381272754813992</v>
      </c>
      <c r="R290" s="114">
        <v>1550980.1160685429</v>
      </c>
      <c r="S290" s="114">
        <v>0.79052365020604676</v>
      </c>
      <c r="T290" s="114">
        <v>596.8528253340188</v>
      </c>
      <c r="U290" s="114">
        <v>26.981723906976825</v>
      </c>
      <c r="V290" s="114">
        <v>604.86589109099248</v>
      </c>
      <c r="W290" s="114">
        <v>21.778327380883251</v>
      </c>
      <c r="X290" s="114">
        <v>7009512.1907408042</v>
      </c>
      <c r="Y290" s="114">
        <v>0.80100817925977674</v>
      </c>
      <c r="Z290" s="114">
        <v>443.95421373373978</v>
      </c>
      <c r="AA290" s="114">
        <v>45.203203230143615</v>
      </c>
      <c r="AB290" s="114">
        <v>1515958.3479984973</v>
      </c>
      <c r="AC290" s="114">
        <v>0.81059183548852309</v>
      </c>
      <c r="AD290" s="114">
        <v>6933196.1463585971</v>
      </c>
      <c r="AE290" s="114">
        <v>0.81050045571274065</v>
      </c>
      <c r="AF290" s="382">
        <v>4.5716869276023173</v>
      </c>
      <c r="AG290" s="163">
        <v>1.3651433307859848E-2</v>
      </c>
      <c r="AH290" s="436">
        <v>4.5734879693067159</v>
      </c>
      <c r="AI290" s="434">
        <v>1.780906679198287E-2</v>
      </c>
      <c r="AJ290" s="21">
        <v>0</v>
      </c>
      <c r="AL290" s="21">
        <v>0</v>
      </c>
    </row>
    <row r="291" spans="1:38" s="21" customFormat="1" x14ac:dyDescent="0.15">
      <c r="A291" s="113" t="s">
        <v>869</v>
      </c>
      <c r="B291" s="324">
        <v>20102.657968361527</v>
      </c>
      <c r="C291" s="114">
        <v>0.10919699613589906</v>
      </c>
      <c r="D291" s="114">
        <v>34126.688497476855</v>
      </c>
      <c r="E291" s="114">
        <v>5.713041120863558E-2</v>
      </c>
      <c r="F291" s="114">
        <v>18326.136759911795</v>
      </c>
      <c r="G291" s="114">
        <v>0.10689766546624259</v>
      </c>
      <c r="H291" s="114">
        <v>18326.136759911795</v>
      </c>
      <c r="I291" s="114">
        <v>0.10689766546624259</v>
      </c>
      <c r="J291" s="114">
        <v>75302.889983859</v>
      </c>
      <c r="K291" s="114">
        <v>5.544559771409454E-2</v>
      </c>
      <c r="L291" s="114">
        <v>653.80486924316506</v>
      </c>
      <c r="M291" s="114"/>
      <c r="N291" s="163">
        <v>2.20656891422168</v>
      </c>
      <c r="O291" s="163">
        <v>1.9055029090241946</v>
      </c>
      <c r="P291" s="324">
        <v>505.84686803797393</v>
      </c>
      <c r="Q291" s="114">
        <v>34.102104507267399</v>
      </c>
      <c r="R291" s="114">
        <v>1560702.219462326</v>
      </c>
      <c r="S291" s="114">
        <v>0.33102558460586051</v>
      </c>
      <c r="T291" s="114">
        <v>767.12112747247932</v>
      </c>
      <c r="U291" s="114">
        <v>20.965415183280445</v>
      </c>
      <c r="V291" s="114">
        <v>625.33255357662961</v>
      </c>
      <c r="W291" s="114">
        <v>17.531976597111225</v>
      </c>
      <c r="X291" s="114">
        <v>7053862.5481607933</v>
      </c>
      <c r="Y291" s="114">
        <v>0.33480117969852619</v>
      </c>
      <c r="Z291" s="114">
        <v>496.71624424940688</v>
      </c>
      <c r="AA291" s="114">
        <v>30.9038847161993</v>
      </c>
      <c r="AB291" s="114">
        <v>1525950.1984112724</v>
      </c>
      <c r="AC291" s="114">
        <v>0.3395789264693736</v>
      </c>
      <c r="AD291" s="114">
        <v>6978062.9419326829</v>
      </c>
      <c r="AE291" s="114">
        <v>0.3387550513104326</v>
      </c>
      <c r="AF291" s="382">
        <v>4.5713413117562824</v>
      </c>
      <c r="AG291" s="163">
        <v>1.4615154711069165E-2</v>
      </c>
      <c r="AH291" s="436">
        <v>4.572945771613397</v>
      </c>
      <c r="AI291" s="434">
        <v>1.5357056359179576E-2</v>
      </c>
      <c r="AJ291" s="21">
        <v>0</v>
      </c>
      <c r="AL291" s="21">
        <v>0</v>
      </c>
    </row>
    <row r="292" spans="1:38" s="21" customFormat="1" x14ac:dyDescent="0.15">
      <c r="A292" s="113" t="s">
        <v>870</v>
      </c>
      <c r="B292" s="324">
        <v>19333.298165516553</v>
      </c>
      <c r="C292" s="114">
        <v>0.11717234045260098</v>
      </c>
      <c r="D292" s="114">
        <v>32879.400931716758</v>
      </c>
      <c r="E292" s="114">
        <v>0.12126425056238195</v>
      </c>
      <c r="F292" s="114">
        <v>18208.07234542392</v>
      </c>
      <c r="G292" s="114">
        <v>0.10006573095216191</v>
      </c>
      <c r="H292" s="114">
        <v>18208.07234542392</v>
      </c>
      <c r="I292" s="114">
        <v>0.10006573095216191</v>
      </c>
      <c r="J292" s="114">
        <v>70786.937494358222</v>
      </c>
      <c r="K292" s="114">
        <v>0.2231179259989092</v>
      </c>
      <c r="L292" s="114">
        <v>757.42360990986253</v>
      </c>
      <c r="M292" s="114"/>
      <c r="N292" s="163">
        <v>2.1529266193555969</v>
      </c>
      <c r="O292" s="163">
        <v>1.8592160210723281</v>
      </c>
      <c r="P292" s="324">
        <v>880.55671846424798</v>
      </c>
      <c r="Q292" s="114">
        <v>19.863952475830118</v>
      </c>
      <c r="R292" s="114">
        <v>1499407.3575204532</v>
      </c>
      <c r="S292" s="114">
        <v>0.60964210607948521</v>
      </c>
      <c r="T292" s="114">
        <v>511.53340023517961</v>
      </c>
      <c r="U292" s="114">
        <v>31.196070643150108</v>
      </c>
      <c r="V292" s="114">
        <v>711.79534008053963</v>
      </c>
      <c r="W292" s="114">
        <v>15.402285945093809</v>
      </c>
      <c r="X292" s="114">
        <v>6774576.5024390109</v>
      </c>
      <c r="Y292" s="114">
        <v>0.62009064602760622</v>
      </c>
      <c r="Z292" s="114">
        <v>437.53659338634913</v>
      </c>
      <c r="AA292" s="114">
        <v>49.63476608149697</v>
      </c>
      <c r="AB292" s="114">
        <v>1465816.1612486553</v>
      </c>
      <c r="AC292" s="114">
        <v>0.62396984824214174</v>
      </c>
      <c r="AD292" s="114">
        <v>6703352.0283512659</v>
      </c>
      <c r="AE292" s="114">
        <v>0.62675451080790046</v>
      </c>
      <c r="AF292" s="382">
        <v>4.5707863209195585</v>
      </c>
      <c r="AG292" s="163">
        <v>1.5563792280576659E-2</v>
      </c>
      <c r="AH292" s="436">
        <v>4.5730568276067274</v>
      </c>
      <c r="AI292" s="434">
        <v>1.5854838638868093E-2</v>
      </c>
      <c r="AJ292" s="21">
        <v>0</v>
      </c>
      <c r="AL292" s="21">
        <v>0</v>
      </c>
    </row>
    <row r="293" spans="1:38" s="21" customFormat="1" x14ac:dyDescent="0.15">
      <c r="A293" s="113" t="s">
        <v>871</v>
      </c>
      <c r="B293" s="324">
        <v>19685.905269237337</v>
      </c>
      <c r="C293" s="114">
        <v>0.109006122944586</v>
      </c>
      <c r="D293" s="114">
        <v>33131.839357771016</v>
      </c>
      <c r="E293" s="114">
        <v>6.7498152588152741E-2</v>
      </c>
      <c r="F293" s="114">
        <v>8984.9845161760149</v>
      </c>
      <c r="G293" s="114">
        <v>0.71875218314327272</v>
      </c>
      <c r="H293" s="114">
        <v>8984.9845161760149</v>
      </c>
      <c r="I293" s="114">
        <v>0.71875218314327272</v>
      </c>
      <c r="J293" s="114">
        <v>71105.649406977755</v>
      </c>
      <c r="K293" s="114">
        <v>4.9068896389497636E-2</v>
      </c>
      <c r="L293" s="114">
        <v>638.38324547769071</v>
      </c>
      <c r="M293" s="114"/>
      <c r="N293" s="163">
        <v>2.1461425258993372</v>
      </c>
      <c r="O293" s="163">
        <v>1.83097469934554</v>
      </c>
      <c r="P293" s="324">
        <v>234.1890809731143</v>
      </c>
      <c r="Q293" s="114">
        <v>75.572212374877907</v>
      </c>
      <c r="R293" s="114">
        <v>2302345.8295131922</v>
      </c>
      <c r="S293" s="114">
        <v>0.58895680520648364</v>
      </c>
      <c r="T293" s="114">
        <v>1200.29780183501</v>
      </c>
      <c r="U293" s="114">
        <v>53.310410604871635</v>
      </c>
      <c r="V293" s="114">
        <v>676.00896428999374</v>
      </c>
      <c r="W293" s="114">
        <v>43.652030885707369</v>
      </c>
      <c r="X293" s="114">
        <v>10459733.027549986</v>
      </c>
      <c r="Y293" s="114">
        <v>0.59334364169994214</v>
      </c>
      <c r="Z293" s="114">
        <v>121.62693468702933</v>
      </c>
      <c r="AA293" s="114">
        <v>168.23355485632015</v>
      </c>
      <c r="AB293" s="114">
        <v>2268537.9811911313</v>
      </c>
      <c r="AC293" s="114">
        <v>0.59941779231250425</v>
      </c>
      <c r="AD293" s="114">
        <v>10388505.751208313</v>
      </c>
      <c r="AE293" s="114">
        <v>0.59766444824489251</v>
      </c>
      <c r="AF293" s="382">
        <v>4.5775679666371332</v>
      </c>
      <c r="AG293" s="163">
        <v>1.2278123018438881E-2</v>
      </c>
      <c r="AH293" s="436">
        <v>4.5794257192398424</v>
      </c>
      <c r="AI293" s="434">
        <v>1.6941834010612163E-2</v>
      </c>
      <c r="AJ293" s="21">
        <v>0</v>
      </c>
      <c r="AL293" s="21">
        <v>0</v>
      </c>
    </row>
    <row r="294" spans="1:38" s="21" customFormat="1" x14ac:dyDescent="0.15">
      <c r="A294" s="113" t="s">
        <v>872</v>
      </c>
      <c r="B294" s="324">
        <v>19959.725644577898</v>
      </c>
      <c r="C294" s="114">
        <v>0.13480373506134943</v>
      </c>
      <c r="D294" s="114">
        <v>33170.325867129555</v>
      </c>
      <c r="E294" s="114">
        <v>7.3783538933353168E-2</v>
      </c>
      <c r="F294" s="114">
        <v>9355.0827597211883</v>
      </c>
      <c r="G294" s="114">
        <v>0.75126446004366809</v>
      </c>
      <c r="H294" s="114">
        <v>9355.0827597211883</v>
      </c>
      <c r="I294" s="114">
        <v>0.75126446004366809</v>
      </c>
      <c r="J294" s="114">
        <v>71952.27369787317</v>
      </c>
      <c r="K294" s="114">
        <v>5.5040008600490922E-2</v>
      </c>
      <c r="L294" s="114">
        <v>0.2018939173244568</v>
      </c>
      <c r="M294" s="114"/>
      <c r="N294" s="163">
        <v>2.1691759672814959</v>
      </c>
      <c r="O294" s="163">
        <v>1.8220261735035415</v>
      </c>
      <c r="P294" s="324">
        <v>307.2349397773886</v>
      </c>
      <c r="Q294" s="114">
        <v>59.168678715722862</v>
      </c>
      <c r="R294" s="114">
        <v>2333904.0295185549</v>
      </c>
      <c r="S294" s="114">
        <v>0.62778683712605143</v>
      </c>
      <c r="T294" s="114">
        <v>-105.83306440428932</v>
      </c>
      <c r="U294" s="114">
        <v>-560.32154230473918</v>
      </c>
      <c r="V294" s="114">
        <v>118.33108923904565</v>
      </c>
      <c r="W294" s="114">
        <v>223.76053360646324</v>
      </c>
      <c r="X294" s="114">
        <v>10597162.900585722</v>
      </c>
      <c r="Y294" s="114">
        <v>0.62885488400791612</v>
      </c>
      <c r="Z294" s="114">
        <v>-375.22482482138469</v>
      </c>
      <c r="AA294" s="114">
        <v>-72.431722476526133</v>
      </c>
      <c r="AB294" s="114">
        <v>2300615.3725621859</v>
      </c>
      <c r="AC294" s="114">
        <v>0.63593962596608511</v>
      </c>
      <c r="AD294" s="114">
        <v>10525585.851712666</v>
      </c>
      <c r="AE294" s="114">
        <v>0.63294823505821296</v>
      </c>
      <c r="AF294" s="382">
        <v>4.5754948275831406</v>
      </c>
      <c r="AG294" s="163">
        <v>1.0365867037272502E-2</v>
      </c>
      <c r="AH294" s="436">
        <v>4.5751907866707588</v>
      </c>
      <c r="AI294" s="434">
        <v>1.3023986141742522E-2</v>
      </c>
      <c r="AJ294" s="21">
        <v>0</v>
      </c>
      <c r="AL294" s="21">
        <v>0</v>
      </c>
    </row>
    <row r="295" spans="1:38" s="21" customFormat="1" x14ac:dyDescent="0.15">
      <c r="A295" s="113" t="s">
        <v>873</v>
      </c>
      <c r="B295" s="324">
        <v>19806.809584978335</v>
      </c>
      <c r="C295" s="114">
        <v>0.11709244396463658</v>
      </c>
      <c r="D295" s="114">
        <v>33405.241272244661</v>
      </c>
      <c r="E295" s="114">
        <v>7.7222050355518199E-2</v>
      </c>
      <c r="F295" s="114">
        <v>10009.416506884176</v>
      </c>
      <c r="G295" s="114">
        <v>0.80205288123850871</v>
      </c>
      <c r="H295" s="114">
        <v>10009.416506884176</v>
      </c>
      <c r="I295" s="114">
        <v>0.80205288123850871</v>
      </c>
      <c r="J295" s="114">
        <v>71655.438215662085</v>
      </c>
      <c r="K295" s="114">
        <v>6.8465560176178455E-2</v>
      </c>
      <c r="L295" s="114">
        <v>17.887135069346055</v>
      </c>
      <c r="M295" s="114"/>
      <c r="N295" s="163">
        <v>2.14503579338606</v>
      </c>
      <c r="O295" s="163">
        <v>1.8134871792055938</v>
      </c>
      <c r="P295" s="324">
        <v>237.89456570413446</v>
      </c>
      <c r="Q295" s="114">
        <v>92.088409213875025</v>
      </c>
      <c r="R295" s="114">
        <v>2396885.170485605</v>
      </c>
      <c r="S295" s="114">
        <v>0.65683446018145009</v>
      </c>
      <c r="T295" s="114">
        <v>502.20495489764846</v>
      </c>
      <c r="U295" s="114">
        <v>110.0149330616853</v>
      </c>
      <c r="V295" s="114">
        <v>358.76873109696567</v>
      </c>
      <c r="W295" s="114">
        <v>71.386366988670162</v>
      </c>
      <c r="X295" s="114">
        <v>10891629.643865611</v>
      </c>
      <c r="Y295" s="114">
        <v>0.6613290071614305</v>
      </c>
      <c r="Z295" s="114">
        <v>454.60087036528193</v>
      </c>
      <c r="AA295" s="114">
        <v>58.980687478464453</v>
      </c>
      <c r="AB295" s="114">
        <v>2363121.1604822632</v>
      </c>
      <c r="AC295" s="114">
        <v>0.66496198166286435</v>
      </c>
      <c r="AD295" s="114">
        <v>10819519.604779586</v>
      </c>
      <c r="AE295" s="114">
        <v>0.66608828499819062</v>
      </c>
      <c r="AF295" s="382">
        <v>4.5780591333451275</v>
      </c>
      <c r="AG295" s="163">
        <v>8.9919207078213142E-3</v>
      </c>
      <c r="AH295" s="436">
        <v>4.5784611894042122</v>
      </c>
      <c r="AI295" s="434">
        <v>1.1598760619976233E-2</v>
      </c>
      <c r="AJ295" s="21">
        <v>0</v>
      </c>
      <c r="AL295" s="21">
        <v>0</v>
      </c>
    </row>
    <row r="296" spans="1:38" s="21" customFormat="1" x14ac:dyDescent="0.15">
      <c r="A296" s="113" t="s">
        <v>874</v>
      </c>
      <c r="B296" s="324">
        <v>19987.591302874251</v>
      </c>
      <c r="C296" s="114">
        <v>0.13270620716041209</v>
      </c>
      <c r="D296" s="114">
        <v>33316.05467654801</v>
      </c>
      <c r="E296" s="114">
        <v>6.3227451129640649E-2</v>
      </c>
      <c r="F296" s="114">
        <v>9382.9751189227463</v>
      </c>
      <c r="G296" s="114">
        <v>0.73700144601066431</v>
      </c>
      <c r="H296" s="114">
        <v>9382.9751189227463</v>
      </c>
      <c r="I296" s="114">
        <v>0.73700144601066431</v>
      </c>
      <c r="J296" s="114">
        <v>71052.945904724038</v>
      </c>
      <c r="K296" s="114">
        <v>5.6022926294670407E-2</v>
      </c>
      <c r="L296" s="114">
        <v>122.23200905803597</v>
      </c>
      <c r="M296" s="114"/>
      <c r="N296" s="163">
        <v>2.1326938797089907</v>
      </c>
      <c r="O296" s="163">
        <v>1.793198810049254</v>
      </c>
      <c r="P296" s="324">
        <v>-84.752261895916448</v>
      </c>
      <c r="Q296" s="114">
        <v>-207.39763554169926</v>
      </c>
      <c r="R296" s="114">
        <v>2452156.1060839659</v>
      </c>
      <c r="S296" s="114">
        <v>0.70974154659807487</v>
      </c>
      <c r="T296" s="114">
        <v>478.25355697790457</v>
      </c>
      <c r="U296" s="114">
        <v>112.96362249506116</v>
      </c>
      <c r="V296" s="114">
        <v>172.72100154760219</v>
      </c>
      <c r="W296" s="114">
        <v>150.95521279084227</v>
      </c>
      <c r="X296" s="114">
        <v>11143607.310223363</v>
      </c>
      <c r="Y296" s="114">
        <v>0.71630992023243722</v>
      </c>
      <c r="Z296" s="114">
        <v>336.48117429741927</v>
      </c>
      <c r="AA296" s="114">
        <v>86.823489253052031</v>
      </c>
      <c r="AB296" s="114">
        <v>2418667.3304058691</v>
      </c>
      <c r="AC296" s="114">
        <v>0.72091956003968993</v>
      </c>
      <c r="AD296" s="114">
        <v>11072217.883144338</v>
      </c>
      <c r="AE296" s="114">
        <v>0.72043106722749517</v>
      </c>
      <c r="AF296" s="382">
        <v>4.5774305416728849</v>
      </c>
      <c r="AG296" s="163">
        <v>9.5780733800217635E-3</v>
      </c>
      <c r="AH296" s="436">
        <v>4.5778302002379609</v>
      </c>
      <c r="AI296" s="434">
        <v>1.2225821865136814E-2</v>
      </c>
      <c r="AJ296" s="21">
        <v>0</v>
      </c>
      <c r="AL296" s="21">
        <v>0</v>
      </c>
    </row>
    <row r="297" spans="1:38" s="21" customFormat="1" x14ac:dyDescent="0.15">
      <c r="A297" s="113" t="s">
        <v>875</v>
      </c>
      <c r="B297" s="324">
        <v>19915.315928418349</v>
      </c>
      <c r="C297" s="114">
        <v>0.14231748824927182</v>
      </c>
      <c r="D297" s="114">
        <v>33324.728579214607</v>
      </c>
      <c r="E297" s="114">
        <v>6.338092561156862E-2</v>
      </c>
      <c r="F297" s="114">
        <v>8987.3938861121496</v>
      </c>
      <c r="G297" s="114">
        <v>0.83628364519044063</v>
      </c>
      <c r="H297" s="114">
        <v>8987.3938861121496</v>
      </c>
      <c r="I297" s="114">
        <v>0.83628364519044063</v>
      </c>
      <c r="J297" s="114">
        <v>71436.853162895568</v>
      </c>
      <c r="K297" s="114">
        <v>5.1311557996812134E-2</v>
      </c>
      <c r="L297" s="114">
        <v>-3.6894645011504261</v>
      </c>
      <c r="M297" s="114"/>
      <c r="N297" s="163">
        <v>2.1436589646360198</v>
      </c>
      <c r="O297" s="163">
        <v>1.801075172165959</v>
      </c>
      <c r="P297" s="324">
        <v>146.57364239737467</v>
      </c>
      <c r="Q297" s="114">
        <v>128.55134287513332</v>
      </c>
      <c r="R297" s="114">
        <v>2496732.7650142941</v>
      </c>
      <c r="S297" s="114">
        <v>0.82031552595377255</v>
      </c>
      <c r="T297" s="114">
        <v>481.94108439264801</v>
      </c>
      <c r="U297" s="114">
        <v>135.11451026187089</v>
      </c>
      <c r="V297" s="114">
        <v>299.9435487971877</v>
      </c>
      <c r="W297" s="114">
        <v>104.84304266530948</v>
      </c>
      <c r="X297" s="114">
        <v>11349659.607325574</v>
      </c>
      <c r="Y297" s="114">
        <v>0.82525235667752506</v>
      </c>
      <c r="Z297" s="114">
        <v>-136.4685536130248</v>
      </c>
      <c r="AA297" s="114">
        <v>-183.57932548121451</v>
      </c>
      <c r="AB297" s="114">
        <v>2463108.0928862803</v>
      </c>
      <c r="AC297" s="114">
        <v>0.83086667180584928</v>
      </c>
      <c r="AD297" s="114">
        <v>11278359.222716283</v>
      </c>
      <c r="AE297" s="114">
        <v>0.83006342752082751</v>
      </c>
      <c r="AF297" s="382">
        <v>4.5777149212381421</v>
      </c>
      <c r="AG297" s="163">
        <v>9.3142439298896547E-3</v>
      </c>
      <c r="AH297" s="436">
        <v>4.5789401139754355</v>
      </c>
      <c r="AI297" s="434">
        <v>1.3922006001353565E-2</v>
      </c>
      <c r="AJ297" s="21">
        <v>0</v>
      </c>
      <c r="AL297" s="21">
        <v>0</v>
      </c>
    </row>
    <row r="298" spans="1:38" s="21" customFormat="1" x14ac:dyDescent="0.15">
      <c r="A298" s="113" t="s">
        <v>876</v>
      </c>
      <c r="B298" s="324">
        <v>19836.885100898366</v>
      </c>
      <c r="C298" s="114">
        <v>0.13296584232020711</v>
      </c>
      <c r="D298" s="114">
        <v>33221.050993124649</v>
      </c>
      <c r="E298" s="114">
        <v>7.2095330319035367E-2</v>
      </c>
      <c r="F298" s="114">
        <v>8871.3587251654062</v>
      </c>
      <c r="G298" s="114">
        <v>0.7803330889725002</v>
      </c>
      <c r="H298" s="114">
        <v>8871.3587251654062</v>
      </c>
      <c r="I298" s="114">
        <v>0.7803330889725002</v>
      </c>
      <c r="J298" s="114">
        <v>71183.020791227871</v>
      </c>
      <c r="K298" s="114">
        <v>6.4330232537773535E-2</v>
      </c>
      <c r="L298" s="114">
        <v>87.462098422952025</v>
      </c>
      <c r="M298" s="114"/>
      <c r="N298" s="163">
        <v>2.1427082727141817</v>
      </c>
      <c r="O298" s="163">
        <v>1.8373213043209451</v>
      </c>
      <c r="P298" s="324">
        <v>258.79579518114951</v>
      </c>
      <c r="Q298" s="114">
        <v>70.574860302078775</v>
      </c>
      <c r="R298" s="114">
        <v>2388307.3343044156</v>
      </c>
      <c r="S298" s="114">
        <v>0.9247765675132068</v>
      </c>
      <c r="T298" s="114">
        <v>-61.98754345305796</v>
      </c>
      <c r="U298" s="114">
        <v>-937.93365479308557</v>
      </c>
      <c r="V298" s="114">
        <v>112.09547648521209</v>
      </c>
      <c r="W298" s="114">
        <v>247.56328272911389</v>
      </c>
      <c r="X298" s="114">
        <v>10848990.763454789</v>
      </c>
      <c r="Y298" s="114">
        <v>0.93066290502705662</v>
      </c>
      <c r="Z298" s="114">
        <v>734.69100717247704</v>
      </c>
      <c r="AA298" s="114">
        <v>28.548256355085417</v>
      </c>
      <c r="AB298" s="114">
        <v>2354974.1878348049</v>
      </c>
      <c r="AC298" s="114">
        <v>0.93999364625991988</v>
      </c>
      <c r="AD298" s="114">
        <v>10777073.051656386</v>
      </c>
      <c r="AE298" s="114">
        <v>0.93673574007220073</v>
      </c>
      <c r="AF298" s="382">
        <v>4.5762719143706931</v>
      </c>
      <c r="AG298" s="163">
        <v>1.1073927512611572E-2</v>
      </c>
      <c r="AH298" s="436">
        <v>4.5764121030947296</v>
      </c>
      <c r="AI298" s="434">
        <v>1.5612652178418814E-2</v>
      </c>
      <c r="AJ298" s="21">
        <v>0</v>
      </c>
      <c r="AL298" s="21">
        <v>0</v>
      </c>
    </row>
    <row r="299" spans="1:38" s="21" customFormat="1" x14ac:dyDescent="0.15">
      <c r="A299" s="113" t="s">
        <v>877</v>
      </c>
      <c r="B299" s="324">
        <v>19816.74743718754</v>
      </c>
      <c r="C299" s="114">
        <v>0.14108146707612304</v>
      </c>
      <c r="D299" s="114">
        <v>33177.246691064924</v>
      </c>
      <c r="E299" s="114">
        <v>7.4760157900438745E-2</v>
      </c>
      <c r="F299" s="114">
        <v>9177.8599284568154</v>
      </c>
      <c r="G299" s="114">
        <v>0.87949931419197425</v>
      </c>
      <c r="H299" s="114">
        <v>9177.8599284568154</v>
      </c>
      <c r="I299" s="114">
        <v>0.87949931419197425</v>
      </c>
      <c r="J299" s="114">
        <v>71372.862522215481</v>
      </c>
      <c r="K299" s="114">
        <v>4.9841171362663923E-2</v>
      </c>
      <c r="L299" s="114">
        <v>209.28472197596054</v>
      </c>
      <c r="M299" s="114"/>
      <c r="N299" s="163">
        <v>2.1512593611765003</v>
      </c>
      <c r="O299" s="163">
        <v>1.8546869196321629</v>
      </c>
      <c r="P299" s="324">
        <v>398.81036930252253</v>
      </c>
      <c r="Q299" s="114">
        <v>50.820828427849939</v>
      </c>
      <c r="R299" s="114">
        <v>2425364.6519013965</v>
      </c>
      <c r="S299" s="114">
        <v>1.0386956466430544</v>
      </c>
      <c r="T299" s="114">
        <v>-66.825908446927954</v>
      </c>
      <c r="U299" s="114">
        <v>-882.53013879001924</v>
      </c>
      <c r="V299" s="114">
        <v>185.86604796378924</v>
      </c>
      <c r="W299" s="114">
        <v>146.85697347694671</v>
      </c>
      <c r="X299" s="114">
        <v>11019939.953148929</v>
      </c>
      <c r="Y299" s="114">
        <v>1.0450667918826266</v>
      </c>
      <c r="Z299" s="114">
        <v>519.25208331473414</v>
      </c>
      <c r="AA299" s="114">
        <v>49.977802855234287</v>
      </c>
      <c r="AB299" s="114">
        <v>2392001.539162369</v>
      </c>
      <c r="AC299" s="114">
        <v>1.0524977937902693</v>
      </c>
      <c r="AD299" s="114">
        <v>10948047.838543398</v>
      </c>
      <c r="AE299" s="114">
        <v>1.0518006372475475</v>
      </c>
      <c r="AF299" s="382">
        <v>4.576941475707776</v>
      </c>
      <c r="AG299" s="163">
        <v>1.0849655469663483E-2</v>
      </c>
      <c r="AH299" s="436">
        <v>4.5769758786608392</v>
      </c>
      <c r="AI299" s="434">
        <v>1.5810070068701689E-2</v>
      </c>
      <c r="AJ299" s="21">
        <v>0</v>
      </c>
      <c r="AL299" s="21">
        <v>0</v>
      </c>
    </row>
    <row r="300" spans="1:38" s="21" customFormat="1" x14ac:dyDescent="0.15">
      <c r="A300" s="113" t="s">
        <v>878</v>
      </c>
      <c r="B300" s="324">
        <v>19758.52933009711</v>
      </c>
      <c r="C300" s="114">
        <v>0.11983212789912266</v>
      </c>
      <c r="D300" s="114">
        <v>33221.798822656805</v>
      </c>
      <c r="E300" s="114">
        <v>5.9104334220096699E-2</v>
      </c>
      <c r="F300" s="114">
        <v>7803.8727077692211</v>
      </c>
      <c r="G300" s="114">
        <v>0.99240699367864438</v>
      </c>
      <c r="H300" s="114">
        <v>7803.8727077692211</v>
      </c>
      <c r="I300" s="114">
        <v>0.99240699367864438</v>
      </c>
      <c r="J300" s="114">
        <v>71877.925544774145</v>
      </c>
      <c r="K300" s="114">
        <v>5.3091962198023833E-2</v>
      </c>
      <c r="L300" s="114">
        <v>377.71137989219295</v>
      </c>
      <c r="M300" s="114"/>
      <c r="N300" s="163">
        <v>2.1635771719788512</v>
      </c>
      <c r="O300" s="163">
        <v>1.8510045610428205</v>
      </c>
      <c r="P300" s="324">
        <v>505.26247403747323</v>
      </c>
      <c r="Q300" s="114">
        <v>39.824649506580457</v>
      </c>
      <c r="R300" s="114">
        <v>2443094.0165975988</v>
      </c>
      <c r="S300" s="114">
        <v>0.9203172364763359</v>
      </c>
      <c r="T300" s="114">
        <v>769.04783749914156</v>
      </c>
      <c r="U300" s="114">
        <v>81.399539227712822</v>
      </c>
      <c r="V300" s="114">
        <v>625.89653518264208</v>
      </c>
      <c r="W300" s="114">
        <v>48.072753807825933</v>
      </c>
      <c r="X300" s="114">
        <v>11100914.784546003</v>
      </c>
      <c r="Y300" s="114">
        <v>0.92746130822352368</v>
      </c>
      <c r="Z300" s="114">
        <v>852.68723722057746</v>
      </c>
      <c r="AA300" s="114">
        <v>25.602702610873603</v>
      </c>
      <c r="AB300" s="114">
        <v>2409246.3212397592</v>
      </c>
      <c r="AC300" s="114">
        <v>0.93295138996089455</v>
      </c>
      <c r="AD300" s="114">
        <v>11028184.171764009</v>
      </c>
      <c r="AE300" s="114">
        <v>0.93364803351505499</v>
      </c>
      <c r="AF300" s="382">
        <v>4.5768045829350186</v>
      </c>
      <c r="AG300" s="163">
        <v>1.1388775914933584E-2</v>
      </c>
      <c r="AH300" s="436">
        <v>4.57743314996892</v>
      </c>
      <c r="AI300" s="434">
        <v>1.6728377967266193E-2</v>
      </c>
      <c r="AJ300" s="21">
        <v>0</v>
      </c>
      <c r="AL300" s="21">
        <v>0</v>
      </c>
    </row>
    <row r="301" spans="1:38" s="21" customFormat="1" x14ac:dyDescent="0.15">
      <c r="A301" s="113" t="s">
        <v>879</v>
      </c>
      <c r="B301" s="324">
        <v>19745.658699716016</v>
      </c>
      <c r="C301" s="114">
        <v>0.12506771267454808</v>
      </c>
      <c r="D301" s="114">
        <v>33233.178465151643</v>
      </c>
      <c r="E301" s="114">
        <v>6.1400186612486619E-2</v>
      </c>
      <c r="F301" s="114">
        <v>8332.0202396517125</v>
      </c>
      <c r="G301" s="114">
        <v>1.0065069815794505</v>
      </c>
      <c r="H301" s="114">
        <v>8332.0202396517125</v>
      </c>
      <c r="I301" s="114">
        <v>1.0065069815794505</v>
      </c>
      <c r="J301" s="114">
        <v>71616.436950851508</v>
      </c>
      <c r="K301" s="114">
        <v>6.5567625617695038E-2</v>
      </c>
      <c r="L301" s="114">
        <v>376.70235788746584</v>
      </c>
      <c r="M301" s="114"/>
      <c r="N301" s="163">
        <v>2.1549680246789698</v>
      </c>
      <c r="O301" s="163">
        <v>1.8464383344327933</v>
      </c>
      <c r="P301" s="324">
        <v>271.91640561886697</v>
      </c>
      <c r="Q301" s="114">
        <v>77.121724009280712</v>
      </c>
      <c r="R301" s="114">
        <v>2397546.4060498965</v>
      </c>
      <c r="S301" s="114">
        <v>0.78930860718671203</v>
      </c>
      <c r="T301" s="114">
        <v>434.93118651963363</v>
      </c>
      <c r="U301" s="114">
        <v>143.37667182553872</v>
      </c>
      <c r="V301" s="114">
        <v>346.46616375814671</v>
      </c>
      <c r="W301" s="114">
        <v>84.027456595704223</v>
      </c>
      <c r="X301" s="114">
        <v>10895844.965770353</v>
      </c>
      <c r="Y301" s="114">
        <v>0.79701910210983873</v>
      </c>
      <c r="Z301" s="114">
        <v>860.99987829455154</v>
      </c>
      <c r="AA301" s="114">
        <v>24.94511316802646</v>
      </c>
      <c r="AB301" s="114">
        <v>2363966.761420988</v>
      </c>
      <c r="AC301" s="114">
        <v>0.80148889330699491</v>
      </c>
      <c r="AD301" s="114">
        <v>10823367.528941203</v>
      </c>
      <c r="AE301" s="114">
        <v>0.8021236566323271</v>
      </c>
      <c r="AF301" s="382">
        <v>4.5779108684874155</v>
      </c>
      <c r="AG301" s="163">
        <v>9.7644205094696308E-3</v>
      </c>
      <c r="AH301" s="436">
        <v>4.5784680661255761</v>
      </c>
      <c r="AI301" s="434">
        <v>1.2315852816506925E-2</v>
      </c>
      <c r="AJ301" s="21">
        <v>0</v>
      </c>
      <c r="AL301" s="21">
        <v>0</v>
      </c>
    </row>
    <row r="302" spans="1:38" s="21" customFormat="1" x14ac:dyDescent="0.15">
      <c r="A302" s="113" t="s">
        <v>880</v>
      </c>
      <c r="B302" s="324">
        <v>19744.863347671984</v>
      </c>
      <c r="C302" s="114">
        <v>0.13242442938570859</v>
      </c>
      <c r="D302" s="114">
        <v>33172.395186282374</v>
      </c>
      <c r="E302" s="114">
        <v>6.7375711522817239E-2</v>
      </c>
      <c r="F302" s="114">
        <v>8087.7763097996894</v>
      </c>
      <c r="G302" s="114">
        <v>0.90573938909871832</v>
      </c>
      <c r="H302" s="114">
        <v>8087.7763097996894</v>
      </c>
      <c r="I302" s="114">
        <v>0.90573938909871832</v>
      </c>
      <c r="J302" s="114">
        <v>72180.398141007419</v>
      </c>
      <c r="K302" s="114">
        <v>9.593928230253719E-2</v>
      </c>
      <c r="L302" s="114">
        <v>637.64203890634292</v>
      </c>
      <c r="M302" s="114"/>
      <c r="N302" s="163">
        <v>2.1759175885754503</v>
      </c>
      <c r="O302" s="163">
        <v>1.8792118773397515</v>
      </c>
      <c r="P302" s="324">
        <v>256.79637597309642</v>
      </c>
      <c r="Q302" s="114">
        <v>70.420004570725965</v>
      </c>
      <c r="R302" s="114">
        <v>2498167.9106886201</v>
      </c>
      <c r="S302" s="114">
        <v>0.86896854153685632</v>
      </c>
      <c r="T302" s="114">
        <v>1122.5617616133795</v>
      </c>
      <c r="U302" s="114">
        <v>53.122792496200006</v>
      </c>
      <c r="V302" s="114">
        <v>652.72734461411221</v>
      </c>
      <c r="W302" s="114">
        <v>46.206089730578263</v>
      </c>
      <c r="X302" s="114">
        <v>11355285.458170975</v>
      </c>
      <c r="Y302" s="114">
        <v>0.87409969238387719</v>
      </c>
      <c r="Z302" s="114">
        <v>-36.579810367119258</v>
      </c>
      <c r="AA302" s="114">
        <v>-654.33993333501121</v>
      </c>
      <c r="AB302" s="114">
        <v>2464342.7881577238</v>
      </c>
      <c r="AC302" s="114">
        <v>0.87958823028182986</v>
      </c>
      <c r="AD302" s="114">
        <v>11283141.639840337</v>
      </c>
      <c r="AE302" s="114">
        <v>0.87944539256653853</v>
      </c>
      <c r="AF302" s="382">
        <v>4.5778563578261933</v>
      </c>
      <c r="AG302" s="163">
        <v>1.1209954409367834E-2</v>
      </c>
      <c r="AH302" s="436">
        <v>4.5785729814601721</v>
      </c>
      <c r="AI302" s="434">
        <v>1.5752267276350734E-2</v>
      </c>
      <c r="AJ302" s="21">
        <v>0</v>
      </c>
      <c r="AL302" s="21">
        <v>0</v>
      </c>
    </row>
    <row r="303" spans="1:38" s="21" customFormat="1" x14ac:dyDescent="0.15">
      <c r="A303" s="113" t="s">
        <v>881</v>
      </c>
      <c r="B303" s="324">
        <v>19993.52851370479</v>
      </c>
      <c r="C303" s="114">
        <v>0.10643051910829797</v>
      </c>
      <c r="D303" s="114">
        <v>33330.64379575869</v>
      </c>
      <c r="E303" s="114">
        <v>7.2041646904308115E-2</v>
      </c>
      <c r="F303" s="114">
        <v>8643.566894169875</v>
      </c>
      <c r="G303" s="114">
        <v>0.98141589603756585</v>
      </c>
      <c r="H303" s="114">
        <v>8643.566894169875</v>
      </c>
      <c r="I303" s="114">
        <v>0.98141589603756585</v>
      </c>
      <c r="J303" s="114">
        <v>71278.79142230445</v>
      </c>
      <c r="K303" s="114">
        <v>4.9476255649118964E-2</v>
      </c>
      <c r="L303" s="114">
        <v>-51.960563599928278</v>
      </c>
      <c r="M303" s="114"/>
      <c r="N303" s="163">
        <v>2.1385362928805667</v>
      </c>
      <c r="O303" s="163">
        <v>1.8033003509177232</v>
      </c>
      <c r="P303" s="324">
        <v>30.254165810959382</v>
      </c>
      <c r="Q303" s="114">
        <v>692.06620049813273</v>
      </c>
      <c r="R303" s="114">
        <v>2557121.4943842944</v>
      </c>
      <c r="S303" s="114">
        <v>0.95797662481046097</v>
      </c>
      <c r="T303" s="114">
        <v>-416.31336645500608</v>
      </c>
      <c r="U303" s="114">
        <v>-142.60396070855199</v>
      </c>
      <c r="V303" s="114">
        <v>-173.96965573040492</v>
      </c>
      <c r="W303" s="114">
        <v>-152.28489313459622</v>
      </c>
      <c r="X303" s="114">
        <v>11626840.577530082</v>
      </c>
      <c r="Y303" s="114">
        <v>0.96419928642484676</v>
      </c>
      <c r="Z303" s="114">
        <v>1269.3521693927723</v>
      </c>
      <c r="AA303" s="114">
        <v>17.427761167555158</v>
      </c>
      <c r="AB303" s="114">
        <v>2523964.8202442662</v>
      </c>
      <c r="AC303" s="114">
        <v>0.97032602476250984</v>
      </c>
      <c r="AD303" s="114">
        <v>11554292.433938386</v>
      </c>
      <c r="AE303" s="114">
        <v>0.9702122606525323</v>
      </c>
      <c r="AF303" s="382">
        <v>4.5782891114749669</v>
      </c>
      <c r="AG303" s="163">
        <v>1.0006388689138536E-2</v>
      </c>
      <c r="AH303" s="436">
        <v>4.5778391312982167</v>
      </c>
      <c r="AI303" s="434">
        <v>1.2560649002496389E-2</v>
      </c>
      <c r="AJ303" s="21">
        <v>0</v>
      </c>
      <c r="AL303" s="21">
        <v>0</v>
      </c>
    </row>
    <row r="304" spans="1:38" s="21" customFormat="1" x14ac:dyDescent="0.15">
      <c r="A304" s="113" t="s">
        <v>882</v>
      </c>
      <c r="B304" s="324">
        <v>19945.096785828522</v>
      </c>
      <c r="C304" s="114">
        <v>0.11254605298194192</v>
      </c>
      <c r="D304" s="114">
        <v>33341.435233045318</v>
      </c>
      <c r="E304" s="114">
        <v>6.527660803509977E-2</v>
      </c>
      <c r="F304" s="114">
        <v>8213.3009443515857</v>
      </c>
      <c r="G304" s="114">
        <v>0.98298325178636825</v>
      </c>
      <c r="H304" s="114">
        <v>8213.3009443515857</v>
      </c>
      <c r="I304" s="114">
        <v>0.98298325178636825</v>
      </c>
      <c r="J304" s="114">
        <v>71554.767429466592</v>
      </c>
      <c r="K304" s="114">
        <v>5.4032315071800584E-2</v>
      </c>
      <c r="L304" s="114">
        <v>429.63721539029245</v>
      </c>
      <c r="M304" s="114"/>
      <c r="N304" s="163">
        <v>2.1461213930751044</v>
      </c>
      <c r="O304" s="163">
        <v>1.8257583787595786</v>
      </c>
      <c r="P304" s="324">
        <v>126.65160857240443</v>
      </c>
      <c r="Q304" s="114">
        <v>142.00157816044234</v>
      </c>
      <c r="R304" s="114">
        <v>2516206.0978662865</v>
      </c>
      <c r="S304" s="114">
        <v>0.92149173801946926</v>
      </c>
      <c r="T304" s="114">
        <v>597.63773724881219</v>
      </c>
      <c r="U304" s="114">
        <v>93.383419874264845</v>
      </c>
      <c r="V304" s="114">
        <v>342.04251843815416</v>
      </c>
      <c r="W304" s="114">
        <v>82.038190476160949</v>
      </c>
      <c r="X304" s="114">
        <v>11437800.546818314</v>
      </c>
      <c r="Y304" s="114">
        <v>0.92601195621790799</v>
      </c>
      <c r="Z304" s="114">
        <v>-69.992950603476245</v>
      </c>
      <c r="AA304" s="114">
        <v>-368.95617922573467</v>
      </c>
      <c r="AB304" s="114">
        <v>2482522.6201148028</v>
      </c>
      <c r="AC304" s="114">
        <v>0.93528375632951588</v>
      </c>
      <c r="AD304" s="114">
        <v>11366315.772339446</v>
      </c>
      <c r="AE304" s="114">
        <v>0.93220958699784284</v>
      </c>
      <c r="AF304" s="382">
        <v>4.5782495533409415</v>
      </c>
      <c r="AG304" s="163">
        <v>1.1017051400257301E-2</v>
      </c>
      <c r="AH304" s="436">
        <v>4.5786447756610311</v>
      </c>
      <c r="AI304" s="434">
        <v>1.438225637415669E-2</v>
      </c>
      <c r="AJ304" s="21">
        <v>0</v>
      </c>
      <c r="AL304" s="21">
        <v>0</v>
      </c>
    </row>
    <row r="305" spans="1:38" s="21" customFormat="1" x14ac:dyDescent="0.15">
      <c r="A305" s="113" t="s">
        <v>883</v>
      </c>
      <c r="B305" s="324">
        <v>19959.255495317087</v>
      </c>
      <c r="C305" s="114">
        <v>0.126755408779542</v>
      </c>
      <c r="D305" s="114">
        <v>33235.744408024402</v>
      </c>
      <c r="E305" s="114">
        <v>6.5729242821732481E-2</v>
      </c>
      <c r="F305" s="114">
        <v>10372.291650347019</v>
      </c>
      <c r="G305" s="114">
        <v>0.80343724877817302</v>
      </c>
      <c r="H305" s="114">
        <v>10372.291650347019</v>
      </c>
      <c r="I305" s="114">
        <v>0.80343724877817302</v>
      </c>
      <c r="J305" s="114">
        <v>72013.291300948142</v>
      </c>
      <c r="K305" s="114">
        <v>4.5845515158878192E-2</v>
      </c>
      <c r="L305" s="114">
        <v>47.227098651125608</v>
      </c>
      <c r="M305" s="114"/>
      <c r="N305" s="163">
        <v>2.1667422404283903</v>
      </c>
      <c r="O305" s="163">
        <v>1.8663700612107241</v>
      </c>
      <c r="P305" s="324">
        <v>35.312288117768517</v>
      </c>
      <c r="Q305" s="114">
        <v>497.59910934389876</v>
      </c>
      <c r="R305" s="114">
        <v>2631075.4755174317</v>
      </c>
      <c r="S305" s="114">
        <v>1.2269554419338387</v>
      </c>
      <c r="T305" s="114">
        <v>-160.67558184561253</v>
      </c>
      <c r="U305" s="114">
        <v>-321.33074934954067</v>
      </c>
      <c r="V305" s="114">
        <v>-54.316690452566547</v>
      </c>
      <c r="W305" s="114">
        <v>-454.45545444645148</v>
      </c>
      <c r="X305" s="114">
        <v>11963485.321285859</v>
      </c>
      <c r="Y305" s="114">
        <v>1.2349203030870823</v>
      </c>
      <c r="Z305" s="114">
        <v>429.36356086425019</v>
      </c>
      <c r="AA305" s="114">
        <v>45.44495052370759</v>
      </c>
      <c r="AB305" s="114">
        <v>2597894.0477998629</v>
      </c>
      <c r="AC305" s="114">
        <v>1.2436044121570931</v>
      </c>
      <c r="AD305" s="114">
        <v>11891042.666424045</v>
      </c>
      <c r="AE305" s="114">
        <v>1.2420651410756418</v>
      </c>
      <c r="AF305" s="382">
        <v>4.5771159630088816</v>
      </c>
      <c r="AG305" s="163">
        <v>9.1105859050325897E-3</v>
      </c>
      <c r="AH305" s="436">
        <v>4.5772639972511904</v>
      </c>
      <c r="AI305" s="434">
        <v>1.3597859861353642E-2</v>
      </c>
      <c r="AJ305" s="21">
        <v>0</v>
      </c>
      <c r="AL305" s="21">
        <v>0</v>
      </c>
    </row>
    <row r="306" spans="1:38" s="21" customFormat="1" x14ac:dyDescent="0.15">
      <c r="A306" s="113" t="s">
        <v>884</v>
      </c>
      <c r="B306" s="324">
        <v>19954.707758238244</v>
      </c>
      <c r="C306" s="114">
        <v>0.11412735841837902</v>
      </c>
      <c r="D306" s="114">
        <v>33269.068955222232</v>
      </c>
      <c r="E306" s="114">
        <v>5.7842375036942367E-2</v>
      </c>
      <c r="F306" s="114">
        <v>11146.992352271789</v>
      </c>
      <c r="G306" s="114">
        <v>0.73254056491018826</v>
      </c>
      <c r="H306" s="114">
        <v>11146.992352271789</v>
      </c>
      <c r="I306" s="114">
        <v>0.73254056491018826</v>
      </c>
      <c r="J306" s="114">
        <v>71671.326622090011</v>
      </c>
      <c r="K306" s="114">
        <v>5.900449307958891E-2</v>
      </c>
      <c r="L306" s="114">
        <v>-816.86104242306897</v>
      </c>
      <c r="M306" s="114"/>
      <c r="N306" s="163">
        <v>2.1542931279067186</v>
      </c>
      <c r="O306" s="163">
        <v>1.7810634549529987</v>
      </c>
      <c r="P306" s="324">
        <v>108.04543495220653</v>
      </c>
      <c r="Q306" s="114">
        <v>172.5150011765262</v>
      </c>
      <c r="R306" s="114">
        <v>2587678.3251700723</v>
      </c>
      <c r="S306" s="114">
        <v>0.99605347029880187</v>
      </c>
      <c r="T306" s="114">
        <v>-2369.5603404646395</v>
      </c>
      <c r="U306" s="114">
        <v>-25.356579580319501</v>
      </c>
      <c r="V306" s="114">
        <v>-1025.0107842519019</v>
      </c>
      <c r="W306" s="114">
        <v>-25.908924303636464</v>
      </c>
      <c r="X306" s="114">
        <v>11766611.866125727</v>
      </c>
      <c r="Y306" s="114">
        <v>1.0029821338013476</v>
      </c>
      <c r="Z306" s="114">
        <v>-334.63759317493452</v>
      </c>
      <c r="AA306" s="114">
        <v>-81.528690528101649</v>
      </c>
      <c r="AB306" s="114">
        <v>2555434.2669991008</v>
      </c>
      <c r="AC306" s="114">
        <v>1.0067672743786094</v>
      </c>
      <c r="AD306" s="114">
        <v>11695275.177096818</v>
      </c>
      <c r="AE306" s="114">
        <v>1.0079514458778494</v>
      </c>
      <c r="AF306" s="382">
        <v>4.5786414380632152</v>
      </c>
      <c r="AG306" s="163">
        <v>8.8440184395709252E-3</v>
      </c>
      <c r="AH306" s="436">
        <v>4.5765981390565713</v>
      </c>
      <c r="AI306" s="434">
        <v>1.0660015157000104E-2</v>
      </c>
      <c r="AJ306" s="21">
        <v>0</v>
      </c>
      <c r="AL306" s="21">
        <v>0</v>
      </c>
    </row>
    <row r="307" spans="1:38" s="21" customFormat="1" x14ac:dyDescent="0.15">
      <c r="A307" s="113" t="s">
        <v>885</v>
      </c>
      <c r="B307" s="324">
        <v>19954.545588665576</v>
      </c>
      <c r="C307" s="114">
        <v>0.14271816845239738</v>
      </c>
      <c r="D307" s="114">
        <v>33204.575776552585</v>
      </c>
      <c r="E307" s="114">
        <v>6.2337170617688564E-2</v>
      </c>
      <c r="F307" s="114">
        <v>9340.7105362949569</v>
      </c>
      <c r="G307" s="114">
        <v>0.88000453617726426</v>
      </c>
      <c r="H307" s="114">
        <v>9340.7105362949569</v>
      </c>
      <c r="I307" s="114">
        <v>0.88000453617726426</v>
      </c>
      <c r="J307" s="114">
        <v>71679.441302995358</v>
      </c>
      <c r="K307" s="114">
        <v>4.9380139429539588E-2</v>
      </c>
      <c r="L307" s="114">
        <v>-205.84357400349694</v>
      </c>
      <c r="M307" s="114"/>
      <c r="N307" s="163">
        <v>2.1587217913987566</v>
      </c>
      <c r="O307" s="163">
        <v>1.786482804661353</v>
      </c>
      <c r="P307" s="324">
        <v>-9.3839424313366671</v>
      </c>
      <c r="Q307" s="114">
        <v>-2019.9224433688294</v>
      </c>
      <c r="R307" s="114">
        <v>2537494.5526157501</v>
      </c>
      <c r="S307" s="114">
        <v>1.0183889730576778</v>
      </c>
      <c r="T307" s="114">
        <v>190.80825984962101</v>
      </c>
      <c r="U307" s="114">
        <v>295.73400091194441</v>
      </c>
      <c r="V307" s="114">
        <v>82.167757230181479</v>
      </c>
      <c r="W307" s="114">
        <v>304.86008413002855</v>
      </c>
      <c r="X307" s="114">
        <v>11537482.548874652</v>
      </c>
      <c r="Y307" s="114">
        <v>1.0264930487224015</v>
      </c>
      <c r="Z307" s="114">
        <v>-50.059648750761426</v>
      </c>
      <c r="AA307" s="114">
        <v>-448.00856333109203</v>
      </c>
      <c r="AB307" s="114">
        <v>2504207.8090819679</v>
      </c>
      <c r="AC307" s="114">
        <v>1.0316933849645984</v>
      </c>
      <c r="AD307" s="114">
        <v>11465853.167220404</v>
      </c>
      <c r="AE307" s="114">
        <v>1.0327821658450951</v>
      </c>
      <c r="AF307" s="382">
        <v>4.5789255173342527</v>
      </c>
      <c r="AG307" s="163">
        <v>1.0143567921279989E-2</v>
      </c>
      <c r="AH307" s="436">
        <v>4.578611298418056</v>
      </c>
      <c r="AI307" s="434">
        <v>1.4025042500712607E-2</v>
      </c>
      <c r="AJ307" s="21">
        <v>0</v>
      </c>
      <c r="AL307" s="21">
        <v>0</v>
      </c>
    </row>
    <row r="308" spans="1:38" s="21" customFormat="1" x14ac:dyDescent="0.15">
      <c r="A308" s="113" t="s">
        <v>886</v>
      </c>
      <c r="B308" s="324">
        <v>19754.486852543982</v>
      </c>
      <c r="C308" s="114">
        <v>0.13529772586188055</v>
      </c>
      <c r="D308" s="114">
        <v>33023.421644032758</v>
      </c>
      <c r="E308" s="114">
        <v>8.1541086439333235E-2</v>
      </c>
      <c r="F308" s="114">
        <v>8979.1370634406467</v>
      </c>
      <c r="G308" s="114">
        <v>0.91565929684641956</v>
      </c>
      <c r="H308" s="114">
        <v>8979.1370634406467</v>
      </c>
      <c r="I308" s="114">
        <v>0.91565929684641956</v>
      </c>
      <c r="J308" s="114">
        <v>71621.195979740951</v>
      </c>
      <c r="K308" s="114">
        <v>5.1770594637433449E-2</v>
      </c>
      <c r="L308" s="114">
        <v>4451.1630922198465</v>
      </c>
      <c r="M308" s="114"/>
      <c r="N308" s="163">
        <v>2.1687999732966103</v>
      </c>
      <c r="O308" s="163">
        <v>2.1181622700396114</v>
      </c>
      <c r="P308" s="324">
        <v>5590.1591372031944</v>
      </c>
      <c r="Q308" s="114">
        <v>3.6142608639569924</v>
      </c>
      <c r="R308" s="114">
        <v>160398.2255064178</v>
      </c>
      <c r="S308" s="114">
        <v>0.18687133569596837</v>
      </c>
      <c r="T308" s="114">
        <v>2123.1804932417172</v>
      </c>
      <c r="U308" s="114">
        <v>22.329722110239068</v>
      </c>
      <c r="V308" s="114">
        <v>4004.6438977065245</v>
      </c>
      <c r="W308" s="114">
        <v>5.4965449859173372</v>
      </c>
      <c r="X308" s="114">
        <v>636680.79162239213</v>
      </c>
      <c r="Y308" s="114">
        <v>0.15979592202214027</v>
      </c>
      <c r="Z308" s="114">
        <v>2890.9031669495344</v>
      </c>
      <c r="AA308" s="114">
        <v>8.0291941504829989</v>
      </c>
      <c r="AB308" s="114">
        <v>123370.1599646784</v>
      </c>
      <c r="AC308" s="114">
        <v>0.25268143841352536</v>
      </c>
      <c r="AD308" s="114">
        <v>562168.69247570192</v>
      </c>
      <c r="AE308" s="114">
        <v>0.18139174119978493</v>
      </c>
      <c r="AF308" s="382">
        <v>4.4142833847733574</v>
      </c>
      <c r="AG308" s="163">
        <v>0.17319654284120953</v>
      </c>
      <c r="AH308" s="436">
        <v>4.5578335970356587</v>
      </c>
      <c r="AI308" s="434">
        <v>0.19643371496227713</v>
      </c>
      <c r="AJ308" s="21">
        <v>0</v>
      </c>
      <c r="AL308" s="21">
        <v>0</v>
      </c>
    </row>
    <row r="309" spans="1:38" s="21" customFormat="1" x14ac:dyDescent="0.15">
      <c r="A309" s="113" t="s">
        <v>887</v>
      </c>
      <c r="B309" s="324">
        <v>19389.02050184763</v>
      </c>
      <c r="C309" s="114">
        <v>0.12302346007635354</v>
      </c>
      <c r="D309" s="114">
        <v>32067.360719339522</v>
      </c>
      <c r="E309" s="114">
        <v>6.7601984959026362E-2</v>
      </c>
      <c r="F309" s="114">
        <v>8213.0202142598791</v>
      </c>
      <c r="G309" s="114">
        <v>0.91574769844963344</v>
      </c>
      <c r="H309" s="114">
        <v>8213.0202142598791</v>
      </c>
      <c r="I309" s="114">
        <v>0.91574769844963344</v>
      </c>
      <c r="J309" s="114">
        <v>68774.251585842416</v>
      </c>
      <c r="K309" s="114">
        <v>7.0977086956947336E-2</v>
      </c>
      <c r="L309" s="114">
        <v>4955.6502950436834</v>
      </c>
      <c r="M309" s="114"/>
      <c r="N309" s="163">
        <v>2.1446807608449459</v>
      </c>
      <c r="O309" s="163">
        <v>2.1407551994380705</v>
      </c>
      <c r="P309" s="324">
        <v>5982.1347081782214</v>
      </c>
      <c r="Q309" s="114">
        <v>3.2387777058492206</v>
      </c>
      <c r="R309" s="114">
        <v>162269.37146897602</v>
      </c>
      <c r="S309" s="114">
        <v>0.14324676339551826</v>
      </c>
      <c r="T309" s="114">
        <v>3312.5571352294692</v>
      </c>
      <c r="U309" s="114">
        <v>17.881752147206502</v>
      </c>
      <c r="V309" s="114">
        <v>4761.2861366703146</v>
      </c>
      <c r="W309" s="114">
        <v>5.5257344228284255</v>
      </c>
      <c r="X309" s="114">
        <v>643007.07633149379</v>
      </c>
      <c r="Y309" s="114">
        <v>0.12198308466166329</v>
      </c>
      <c r="Z309" s="114">
        <v>3271.0303851657454</v>
      </c>
      <c r="AA309" s="114">
        <v>8.0825461583707963</v>
      </c>
      <c r="AB309" s="114">
        <v>125440.72461296615</v>
      </c>
      <c r="AC309" s="114">
        <v>0.26258531912644856</v>
      </c>
      <c r="AD309" s="114">
        <v>570961.79436048539</v>
      </c>
      <c r="AE309" s="114">
        <v>0.14709424870934523</v>
      </c>
      <c r="AF309" s="382">
        <v>4.3856397193698271</v>
      </c>
      <c r="AG309" s="163">
        <v>0.13985008827038378</v>
      </c>
      <c r="AH309" s="436">
        <v>4.5532213969442452</v>
      </c>
      <c r="AI309" s="434">
        <v>0.23482941213858394</v>
      </c>
      <c r="AJ309" s="21">
        <v>0</v>
      </c>
      <c r="AL309" s="21">
        <v>0</v>
      </c>
    </row>
    <row r="310" spans="1:38" s="21" customFormat="1" x14ac:dyDescent="0.15">
      <c r="A310" s="113" t="s">
        <v>888</v>
      </c>
      <c r="B310" s="324">
        <v>19267.963717898914</v>
      </c>
      <c r="C310" s="114">
        <v>0.12359009034172183</v>
      </c>
      <c r="D310" s="114">
        <v>31942.268012178796</v>
      </c>
      <c r="E310" s="114">
        <v>5.5813052298164953E-2</v>
      </c>
      <c r="F310" s="114">
        <v>9803.4298750879589</v>
      </c>
      <c r="G310" s="114">
        <v>0.75303717761627398</v>
      </c>
      <c r="H310" s="114">
        <v>9803.4298750879589</v>
      </c>
      <c r="I310" s="114">
        <v>0.75303717761627398</v>
      </c>
      <c r="J310" s="114">
        <v>68147.211411065626</v>
      </c>
      <c r="K310" s="114">
        <v>4.9678847058548109E-2</v>
      </c>
      <c r="L310" s="114">
        <v>4084.7964641525427</v>
      </c>
      <c r="M310" s="114"/>
      <c r="N310" s="163">
        <v>2.1334493651196835</v>
      </c>
      <c r="O310" s="163">
        <v>2.0205741249713802</v>
      </c>
      <c r="P310" s="324">
        <v>5946.6830745238312</v>
      </c>
      <c r="Q310" s="114">
        <v>3.8352400604467562</v>
      </c>
      <c r="R310" s="114">
        <v>155873.88401438936</v>
      </c>
      <c r="S310" s="114">
        <v>0.28002714851496585</v>
      </c>
      <c r="T310" s="114">
        <v>1028.3572271513669</v>
      </c>
      <c r="U310" s="114">
        <v>62.146669440421697</v>
      </c>
      <c r="V310" s="114">
        <v>3697.4391694880924</v>
      </c>
      <c r="W310" s="114">
        <v>7.3791731078403391</v>
      </c>
      <c r="X310" s="114">
        <v>616069.8342563773</v>
      </c>
      <c r="Y310" s="114">
        <v>0.30699349200511228</v>
      </c>
      <c r="Z310" s="114">
        <v>2824.6065745487999</v>
      </c>
      <c r="AA310" s="114">
        <v>9.228872224706171</v>
      </c>
      <c r="AB310" s="114">
        <v>120234.17683272254</v>
      </c>
      <c r="AC310" s="114">
        <v>0.39589907227157606</v>
      </c>
      <c r="AD310" s="114">
        <v>545098.01627076289</v>
      </c>
      <c r="AE310" s="114">
        <v>0.34773203274500936</v>
      </c>
      <c r="AF310" s="382">
        <v>4.3985859553596507</v>
      </c>
      <c r="AG310" s="163">
        <v>0.11088399860373906</v>
      </c>
      <c r="AH310" s="436">
        <v>4.5350324408134464</v>
      </c>
      <c r="AI310" s="434">
        <v>0.24835434901349493</v>
      </c>
      <c r="AJ310" s="21">
        <v>0</v>
      </c>
      <c r="AL310" s="21">
        <v>0</v>
      </c>
    </row>
    <row r="311" spans="1:38" s="21" customFormat="1" x14ac:dyDescent="0.15">
      <c r="A311" s="113" t="s">
        <v>889</v>
      </c>
      <c r="B311" s="324">
        <v>19225.588388197157</v>
      </c>
      <c r="C311" s="114">
        <v>0.1423160556525101</v>
      </c>
      <c r="D311" s="114">
        <v>31690.569599121343</v>
      </c>
      <c r="E311" s="114">
        <v>6.3822389728533407E-2</v>
      </c>
      <c r="F311" s="114">
        <v>8887.540227085552</v>
      </c>
      <c r="G311" s="114">
        <v>0.98135350246819819</v>
      </c>
      <c r="H311" s="114">
        <v>8887.540227085552</v>
      </c>
      <c r="I311" s="114">
        <v>0.98135350246819819</v>
      </c>
      <c r="J311" s="114">
        <v>67148.094414367253</v>
      </c>
      <c r="K311" s="114">
        <v>6.71642903279418E-2</v>
      </c>
      <c r="L311" s="114">
        <v>4590.7176123005074</v>
      </c>
      <c r="M311" s="114"/>
      <c r="N311" s="163">
        <v>2.1188667563813373</v>
      </c>
      <c r="O311" s="163">
        <v>2.1043756878349478</v>
      </c>
      <c r="P311" s="324">
        <v>5775.8149175880744</v>
      </c>
      <c r="Q311" s="114">
        <v>2.8507558944539859</v>
      </c>
      <c r="R311" s="114">
        <v>154528.53018805376</v>
      </c>
      <c r="S311" s="114">
        <v>0.15337362584839262</v>
      </c>
      <c r="T311" s="114">
        <v>2642.138242608572</v>
      </c>
      <c r="U311" s="114">
        <v>24.763286092150654</v>
      </c>
      <c r="V311" s="114">
        <v>4342.7250044185748</v>
      </c>
      <c r="W311" s="114">
        <v>6.9939544244121068</v>
      </c>
      <c r="X311" s="114">
        <v>608773.33423435502</v>
      </c>
      <c r="Y311" s="114">
        <v>0.14544582476929269</v>
      </c>
      <c r="Z311" s="114">
        <v>4221.7002474577712</v>
      </c>
      <c r="AA311" s="114">
        <v>6.3177999747694402</v>
      </c>
      <c r="AB311" s="114">
        <v>118495.2355845139</v>
      </c>
      <c r="AC311" s="114">
        <v>0.3196868606688032</v>
      </c>
      <c r="AD311" s="114">
        <v>537403.53957253008</v>
      </c>
      <c r="AE311" s="114">
        <v>0.1651269889785156</v>
      </c>
      <c r="AF311" s="382">
        <v>4.3752427806855394</v>
      </c>
      <c r="AG311" s="163">
        <v>0.11988837625737035</v>
      </c>
      <c r="AH311" s="436">
        <v>4.5375508679079761</v>
      </c>
      <c r="AI311" s="434">
        <v>0.28957815473685977</v>
      </c>
      <c r="AJ311" s="21">
        <v>0</v>
      </c>
      <c r="AL311" s="21">
        <v>0</v>
      </c>
    </row>
    <row r="312" spans="1:38" s="21" customFormat="1" x14ac:dyDescent="0.15">
      <c r="A312" s="113" t="s">
        <v>890</v>
      </c>
      <c r="B312" s="324">
        <v>19178.140228868811</v>
      </c>
      <c r="C312" s="114">
        <v>0.13710539038793276</v>
      </c>
      <c r="D312" s="114">
        <v>31500.340090932979</v>
      </c>
      <c r="E312" s="114">
        <v>7.8232618850244615E-2</v>
      </c>
      <c r="F312" s="114">
        <v>9282.9621274281271</v>
      </c>
      <c r="G312" s="114">
        <v>0.7524097304849765</v>
      </c>
      <c r="H312" s="114">
        <v>9282.9621274281271</v>
      </c>
      <c r="I312" s="114">
        <v>0.7524097304849765</v>
      </c>
      <c r="J312" s="114">
        <v>66934.400000855327</v>
      </c>
      <c r="K312" s="114">
        <v>5.571751320232414E-2</v>
      </c>
      <c r="L312" s="114">
        <v>4335.5113050242226</v>
      </c>
      <c r="M312" s="114"/>
      <c r="N312" s="163">
        <v>2.1248786459966396</v>
      </c>
      <c r="O312" s="163">
        <v>2.0643489572819949</v>
      </c>
      <c r="P312" s="324">
        <v>5732.3500527316828</v>
      </c>
      <c r="Q312" s="114">
        <v>3.6653687885240824</v>
      </c>
      <c r="R312" s="114">
        <v>154104.04509615412</v>
      </c>
      <c r="S312" s="114">
        <v>0.34940012630423012</v>
      </c>
      <c r="T312" s="114">
        <v>2846.9329671391451</v>
      </c>
      <c r="U312" s="114">
        <v>23.152014383237621</v>
      </c>
      <c r="V312" s="114">
        <v>4412.7939690854182</v>
      </c>
      <c r="W312" s="114">
        <v>7.7132040878073873</v>
      </c>
      <c r="X312" s="114">
        <v>608450.26003409422</v>
      </c>
      <c r="Y312" s="114">
        <v>0.38806001218587327</v>
      </c>
      <c r="Z312" s="114">
        <v>3531.533111456783</v>
      </c>
      <c r="AA312" s="114">
        <v>5.8783177737943673</v>
      </c>
      <c r="AB312" s="114">
        <v>118190.91103613569</v>
      </c>
      <c r="AC312" s="114">
        <v>0.54699574380729787</v>
      </c>
      <c r="AD312" s="114">
        <v>537984.32692178199</v>
      </c>
      <c r="AE312" s="114">
        <v>0.43430192853099603</v>
      </c>
      <c r="AF312" s="382">
        <v>4.3883046063684414</v>
      </c>
      <c r="AG312" s="163">
        <v>0.12854394436487196</v>
      </c>
      <c r="AH312" s="436">
        <v>4.5547085504344782</v>
      </c>
      <c r="AI312" s="434">
        <v>0.28905859667586242</v>
      </c>
      <c r="AJ312" s="21">
        <v>0</v>
      </c>
      <c r="AL312" s="21">
        <v>0</v>
      </c>
    </row>
    <row r="313" spans="1:38" s="21" customFormat="1" x14ac:dyDescent="0.15">
      <c r="A313" s="113" t="s">
        <v>891</v>
      </c>
      <c r="B313" s="324">
        <v>19317.492864404696</v>
      </c>
      <c r="C313" s="114">
        <v>0.13296989858003985</v>
      </c>
      <c r="D313" s="114">
        <v>32123.813140562168</v>
      </c>
      <c r="E313" s="114">
        <v>0.12597975750060458</v>
      </c>
      <c r="F313" s="114">
        <v>9298.8749486760807</v>
      </c>
      <c r="G313" s="114">
        <v>1.0530538496092241</v>
      </c>
      <c r="H313" s="114">
        <v>9298.8749486760807</v>
      </c>
      <c r="I313" s="114">
        <v>1.0530538496092241</v>
      </c>
      <c r="J313" s="114">
        <v>68063.367921988276</v>
      </c>
      <c r="K313" s="114">
        <v>0.19897182906579072</v>
      </c>
      <c r="L313" s="114">
        <v>3555.1262215749807</v>
      </c>
      <c r="M313" s="114">
        <v>36.174789088587829</v>
      </c>
      <c r="N313" s="163">
        <v>2.1187823383285052</v>
      </c>
      <c r="O313" s="163">
        <v>2.0104524859415887</v>
      </c>
      <c r="P313" s="324">
        <v>5591.0730218828739</v>
      </c>
      <c r="Q313" s="114">
        <v>3.5302388065092885</v>
      </c>
      <c r="R313" s="114">
        <v>154198.19618552722</v>
      </c>
      <c r="S313" s="114">
        <v>0.67652366932106078</v>
      </c>
      <c r="T313" s="114">
        <v>1396.8683305525358</v>
      </c>
      <c r="U313" s="114">
        <v>39.758182746820921</v>
      </c>
      <c r="V313" s="114">
        <v>3672.9834867035552</v>
      </c>
      <c r="W313" s="114">
        <v>7.8695130293259723</v>
      </c>
      <c r="X313" s="114">
        <v>607443.41277598741</v>
      </c>
      <c r="Y313" s="114">
        <v>0.75623122921609898</v>
      </c>
      <c r="Z313" s="114">
        <v>3154.9391092357087</v>
      </c>
      <c r="AA313" s="114">
        <v>7.7757317822706522</v>
      </c>
      <c r="AB313" s="114">
        <v>118401.39955826152</v>
      </c>
      <c r="AC313" s="114">
        <v>0.9038204701936019</v>
      </c>
      <c r="AD313" s="114">
        <v>536225.10574476316</v>
      </c>
      <c r="AE313" s="114">
        <v>0.83981477138520577</v>
      </c>
      <c r="AF313" s="382">
        <v>4.3934549730749177</v>
      </c>
      <c r="AG313" s="163">
        <v>0.11525362168975253</v>
      </c>
      <c r="AH313" s="436">
        <v>4.5327708470169279</v>
      </c>
      <c r="AI313" s="434">
        <v>0.26496724033086816</v>
      </c>
      <c r="AJ313" s="21">
        <v>0</v>
      </c>
      <c r="AL313" s="21">
        <v>0</v>
      </c>
    </row>
    <row r="314" spans="1:38" s="21" customFormat="1" x14ac:dyDescent="0.15">
      <c r="A314" s="113" t="s">
        <v>892</v>
      </c>
      <c r="B314" s="324">
        <v>19109.958329134508</v>
      </c>
      <c r="C314" s="114">
        <v>0.15625052974903372</v>
      </c>
      <c r="D314" s="114">
        <v>31412.712415218361</v>
      </c>
      <c r="E314" s="114">
        <v>7.2072384583966712E-2</v>
      </c>
      <c r="F314" s="114">
        <v>9905.3572677458815</v>
      </c>
      <c r="G314" s="114">
        <v>0.7117541131118984</v>
      </c>
      <c r="H314" s="114">
        <v>9905.3572677458815</v>
      </c>
      <c r="I314" s="114">
        <v>0.7117541131118984</v>
      </c>
      <c r="J314" s="114">
        <v>66174.196653657287</v>
      </c>
      <c r="K314" s="114">
        <v>6.6199191086056625E-2</v>
      </c>
      <c r="L314" s="114">
        <v>3957.1675644751858</v>
      </c>
      <c r="M314" s="114"/>
      <c r="N314" s="163">
        <v>2.1066056244668068</v>
      </c>
      <c r="O314" s="163">
        <v>2.0146807673028428</v>
      </c>
      <c r="P314" s="324">
        <v>5721.4889886941801</v>
      </c>
      <c r="Q314" s="114">
        <v>3.013214594174062</v>
      </c>
      <c r="R314" s="114">
        <v>151295.23640643153</v>
      </c>
      <c r="S314" s="114">
        <v>0.17885238772084833</v>
      </c>
      <c r="T314" s="114">
        <v>1562.4263775932113</v>
      </c>
      <c r="U314" s="114">
        <v>36.308700853031944</v>
      </c>
      <c r="V314" s="114">
        <v>3819.4705948379637</v>
      </c>
      <c r="W314" s="114">
        <v>7.2091930529076205</v>
      </c>
      <c r="X314" s="114">
        <v>596276.38538852741</v>
      </c>
      <c r="Y314" s="114">
        <v>0.12855358395734412</v>
      </c>
      <c r="Z314" s="114">
        <v>3143.1022626178114</v>
      </c>
      <c r="AA314" s="114">
        <v>6.9377125399139725</v>
      </c>
      <c r="AB314" s="114">
        <v>116063.05339637514</v>
      </c>
      <c r="AC314" s="114">
        <v>0.28012665696786621</v>
      </c>
      <c r="AD314" s="114">
        <v>526959.08647225238</v>
      </c>
      <c r="AE314" s="114">
        <v>0.15998414229379126</v>
      </c>
      <c r="AF314" s="382">
        <v>4.3963363367582007</v>
      </c>
      <c r="AG314" s="163">
        <v>0.15396051968221042</v>
      </c>
      <c r="AH314" s="436">
        <v>4.5419430025470859</v>
      </c>
      <c r="AI314" s="434">
        <v>0.24241448097390797</v>
      </c>
      <c r="AJ314" s="21">
        <v>0</v>
      </c>
      <c r="AL314" s="21">
        <v>0</v>
      </c>
    </row>
    <row r="315" spans="1:38" s="21" customFormat="1" x14ac:dyDescent="0.15">
      <c r="A315" s="113" t="s">
        <v>893</v>
      </c>
      <c r="B315" s="324">
        <v>18907.208349449033</v>
      </c>
      <c r="C315" s="114">
        <v>0.15128932851047816</v>
      </c>
      <c r="D315" s="114">
        <v>31125.236968229659</v>
      </c>
      <c r="E315" s="114">
        <v>6.6894232195108011E-2</v>
      </c>
      <c r="F315" s="114">
        <v>8446.447338099606</v>
      </c>
      <c r="G315" s="114">
        <v>0.95172247650736308</v>
      </c>
      <c r="H315" s="114">
        <v>8446.447338099606</v>
      </c>
      <c r="I315" s="114">
        <v>0.95172247650736308</v>
      </c>
      <c r="J315" s="114">
        <v>65843.723741424343</v>
      </c>
      <c r="K315" s="114">
        <v>5.6251485300257011E-2</v>
      </c>
      <c r="L315" s="114">
        <v>4961.6899165224022</v>
      </c>
      <c r="M315" s="114"/>
      <c r="N315" s="163">
        <v>2.1154448979338776</v>
      </c>
      <c r="O315" s="163">
        <v>2.1046440100961616</v>
      </c>
      <c r="P315" s="324">
        <v>5866.4769600538475</v>
      </c>
      <c r="Q315" s="114">
        <v>3.5719683008392731</v>
      </c>
      <c r="R315" s="114">
        <v>151142.31182647121</v>
      </c>
      <c r="S315" s="114">
        <v>0.15498207491872631</v>
      </c>
      <c r="T315" s="114">
        <v>4245.1894482617172</v>
      </c>
      <c r="U315" s="114">
        <v>11.844339094716185</v>
      </c>
      <c r="V315" s="114">
        <v>5125.0313610077465</v>
      </c>
      <c r="W315" s="114">
        <v>4.6222382330933716</v>
      </c>
      <c r="X315" s="114">
        <v>593448.82276889414</v>
      </c>
      <c r="Y315" s="114">
        <v>0.14566857951206721</v>
      </c>
      <c r="Z315" s="114">
        <v>3339.9011968098639</v>
      </c>
      <c r="AA315" s="114">
        <v>8.1859465828753883</v>
      </c>
      <c r="AB315" s="114">
        <v>114892.0434972338</v>
      </c>
      <c r="AC315" s="114">
        <v>0.22976951700713527</v>
      </c>
      <c r="AD315" s="114">
        <v>524265.19783065992</v>
      </c>
      <c r="AE315" s="114">
        <v>0.18371903435244427</v>
      </c>
      <c r="AF315" s="382">
        <v>4.3685060101682573</v>
      </c>
      <c r="AG315" s="163">
        <v>0.12541930345639893</v>
      </c>
      <c r="AH315" s="436">
        <v>4.5639615506016886</v>
      </c>
      <c r="AI315" s="434">
        <v>0.21616553358212312</v>
      </c>
      <c r="AJ315" s="21">
        <v>0</v>
      </c>
      <c r="AL315" s="21">
        <v>0</v>
      </c>
    </row>
    <row r="316" spans="1:38" s="21" customFormat="1" x14ac:dyDescent="0.15">
      <c r="A316" s="113" t="s">
        <v>894</v>
      </c>
      <c r="B316" s="324">
        <v>18749.451425230505</v>
      </c>
      <c r="C316" s="114">
        <v>0.14400318823797983</v>
      </c>
      <c r="D316" s="114">
        <v>31122.154750698835</v>
      </c>
      <c r="E316" s="114">
        <v>7.1852463767187319E-2</v>
      </c>
      <c r="F316" s="114">
        <v>8935.1627621868174</v>
      </c>
      <c r="G316" s="114">
        <v>0.98334541096645101</v>
      </c>
      <c r="H316" s="114">
        <v>8935.1627621868174</v>
      </c>
      <c r="I316" s="114">
        <v>0.98334541096645101</v>
      </c>
      <c r="J316" s="114">
        <v>65563.352475366541</v>
      </c>
      <c r="K316" s="114">
        <v>7.3526821620097743E-2</v>
      </c>
      <c r="L316" s="114">
        <v>4716.4119797359417</v>
      </c>
      <c r="M316" s="114"/>
      <c r="N316" s="163">
        <v>2.1066456677102137</v>
      </c>
      <c r="O316" s="163">
        <v>2.0871675191064258</v>
      </c>
      <c r="P316" s="324">
        <v>5940.8957576775983</v>
      </c>
      <c r="Q316" s="114">
        <v>3.4172729744870787</v>
      </c>
      <c r="R316" s="114">
        <v>155749.79934651227</v>
      </c>
      <c r="S316" s="114">
        <v>0.16644180947050627</v>
      </c>
      <c r="T316" s="114">
        <v>2291.8051909650121</v>
      </c>
      <c r="U316" s="114">
        <v>25.668039438641983</v>
      </c>
      <c r="V316" s="114">
        <v>4272.097274045911</v>
      </c>
      <c r="W316" s="114">
        <v>6.9365910363805545</v>
      </c>
      <c r="X316" s="114">
        <v>616373.40981144994</v>
      </c>
      <c r="Y316" s="114">
        <v>0.16779445310096999</v>
      </c>
      <c r="Z316" s="114">
        <v>4052.0025985517595</v>
      </c>
      <c r="AA316" s="114">
        <v>7.0161881302943803</v>
      </c>
      <c r="AB316" s="114">
        <v>120355.54732176762</v>
      </c>
      <c r="AC316" s="114">
        <v>0.30119429202743409</v>
      </c>
      <c r="AD316" s="114">
        <v>546758.05473753146</v>
      </c>
      <c r="AE316" s="114">
        <v>0.19271866043533489</v>
      </c>
      <c r="AF316" s="382">
        <v>4.3873857290394715</v>
      </c>
      <c r="AG316" s="163">
        <v>0.11179263393005577</v>
      </c>
      <c r="AH316" s="436">
        <v>4.5444611467648963</v>
      </c>
      <c r="AI316" s="434">
        <v>0.24670479181256241</v>
      </c>
      <c r="AJ316" s="21">
        <v>0</v>
      </c>
      <c r="AL316" s="21">
        <v>0</v>
      </c>
    </row>
    <row r="317" spans="1:38" s="21" customFormat="1" x14ac:dyDescent="0.15">
      <c r="A317" s="113" t="s">
        <v>895</v>
      </c>
      <c r="B317" s="324">
        <v>18540.577815606273</v>
      </c>
      <c r="C317" s="114">
        <v>0.15177405279193348</v>
      </c>
      <c r="D317" s="114">
        <v>31019.089805539083</v>
      </c>
      <c r="E317" s="114">
        <v>6.1683905321987482E-2</v>
      </c>
      <c r="F317" s="114">
        <v>8880.8234742476125</v>
      </c>
      <c r="G317" s="114">
        <v>0.83079656003949032</v>
      </c>
      <c r="H317" s="114">
        <v>8880.8234742476125</v>
      </c>
      <c r="I317" s="114">
        <v>0.83079656003949032</v>
      </c>
      <c r="J317" s="114">
        <v>65436.581338041375</v>
      </c>
      <c r="K317" s="114">
        <v>5.8598436729071612E-2</v>
      </c>
      <c r="L317" s="114">
        <v>4392.9298899102578</v>
      </c>
      <c r="M317" s="114"/>
      <c r="N317" s="163">
        <v>2.1095583960802213</v>
      </c>
      <c r="O317" s="163">
        <v>2.0212862396923161</v>
      </c>
      <c r="P317" s="324">
        <v>5840.7446022968306</v>
      </c>
      <c r="Q317" s="114">
        <v>3.7486455712078302</v>
      </c>
      <c r="R317" s="114">
        <v>150659.49323690601</v>
      </c>
      <c r="S317" s="114">
        <v>0.11790345798085308</v>
      </c>
      <c r="T317" s="114">
        <v>2296.0919548449465</v>
      </c>
      <c r="U317" s="114">
        <v>22.933173277101705</v>
      </c>
      <c r="V317" s="114">
        <v>4219.7075644581764</v>
      </c>
      <c r="W317" s="114">
        <v>5.9080536018005443</v>
      </c>
      <c r="X317" s="114">
        <v>591016.27114838874</v>
      </c>
      <c r="Y317" s="114">
        <v>0.10192300060246455</v>
      </c>
      <c r="Z317" s="114">
        <v>3369.1577298943853</v>
      </c>
      <c r="AA317" s="114">
        <v>6.8947408402474233</v>
      </c>
      <c r="AB317" s="114">
        <v>115420.69586690875</v>
      </c>
      <c r="AC317" s="114">
        <v>0.25264582035009903</v>
      </c>
      <c r="AD317" s="114">
        <v>522210.53208045318</v>
      </c>
      <c r="AE317" s="114">
        <v>0.11400150394320854</v>
      </c>
      <c r="AF317" s="382">
        <v>4.3652362922578414</v>
      </c>
      <c r="AG317" s="163">
        <v>0.1349527098824948</v>
      </c>
      <c r="AH317" s="436">
        <v>4.5259706075668245</v>
      </c>
      <c r="AI317" s="434">
        <v>0.22658701248753249</v>
      </c>
      <c r="AJ317" s="21">
        <v>0</v>
      </c>
      <c r="AL317" s="21">
        <v>0</v>
      </c>
    </row>
    <row r="318" spans="1:38" s="21" customFormat="1" x14ac:dyDescent="0.15">
      <c r="A318" s="113" t="s">
        <v>896</v>
      </c>
      <c r="B318" s="324">
        <v>18730.563227499628</v>
      </c>
      <c r="C318" s="114">
        <v>0.10749728196991624</v>
      </c>
      <c r="D318" s="114">
        <v>31085.596518802075</v>
      </c>
      <c r="E318" s="114">
        <v>7.2064981215967397E-2</v>
      </c>
      <c r="F318" s="114">
        <v>9882.169762455831</v>
      </c>
      <c r="G318" s="114">
        <v>0.7188041471396498</v>
      </c>
      <c r="H318" s="114">
        <v>9882.169762455831</v>
      </c>
      <c r="I318" s="114">
        <v>0.7188041471396498</v>
      </c>
      <c r="J318" s="114">
        <v>65268.473211576915</v>
      </c>
      <c r="K318" s="114">
        <v>5.0408436866007066E-2</v>
      </c>
      <c r="L318" s="114">
        <v>4034.4377238967268</v>
      </c>
      <c r="M318" s="114"/>
      <c r="N318" s="163">
        <v>2.0996371477735476</v>
      </c>
      <c r="O318" s="163">
        <v>2.0147498888692139</v>
      </c>
      <c r="P318" s="324">
        <v>6023.3083554965533</v>
      </c>
      <c r="Q318" s="114">
        <v>3.1967798300324679</v>
      </c>
      <c r="R318" s="114">
        <v>155466.95331824903</v>
      </c>
      <c r="S318" s="114">
        <v>0.13623767248669222</v>
      </c>
      <c r="T318" s="114">
        <v>1892.2773467959425</v>
      </c>
      <c r="U318" s="114">
        <v>37.307276796086754</v>
      </c>
      <c r="V318" s="114">
        <v>4134.1093462854342</v>
      </c>
      <c r="W318" s="114">
        <v>8.3894188360257829</v>
      </c>
      <c r="X318" s="114">
        <v>614635.72726986883</v>
      </c>
      <c r="Y318" s="114">
        <v>0.13590035082869401</v>
      </c>
      <c r="Z318" s="114">
        <v>3129.4146469031748</v>
      </c>
      <c r="AA318" s="114">
        <v>7.6728752008409957</v>
      </c>
      <c r="AB318" s="114">
        <v>120247.24745316152</v>
      </c>
      <c r="AC318" s="114">
        <v>0.32995844452889894</v>
      </c>
      <c r="AD318" s="114">
        <v>546237.83941138885</v>
      </c>
      <c r="AE318" s="114">
        <v>0.14539657411642395</v>
      </c>
      <c r="AF318" s="382">
        <v>4.3919283707338375</v>
      </c>
      <c r="AG318" s="163">
        <v>0.1046208159234842</v>
      </c>
      <c r="AH318" s="436">
        <v>4.5454182333138631</v>
      </c>
      <c r="AI318" s="434">
        <v>0.29515450502574281</v>
      </c>
      <c r="AJ318" s="21">
        <v>0</v>
      </c>
      <c r="AL318" s="21">
        <v>0</v>
      </c>
    </row>
    <row r="319" spans="1:38" s="21" customFormat="1" x14ac:dyDescent="0.15">
      <c r="A319" s="113" t="s">
        <v>897</v>
      </c>
      <c r="B319" s="324">
        <v>18666.408882629257</v>
      </c>
      <c r="C319" s="114">
        <v>0.14102241767640594</v>
      </c>
      <c r="D319" s="114">
        <v>30829.881263061296</v>
      </c>
      <c r="E319" s="114">
        <v>6.851832761264165E-2</v>
      </c>
      <c r="F319" s="114">
        <v>9633.51803903994</v>
      </c>
      <c r="G319" s="114">
        <v>0.80147202237341031</v>
      </c>
      <c r="H319" s="114">
        <v>9633.51803903994</v>
      </c>
      <c r="I319" s="114">
        <v>0.80147202237341031</v>
      </c>
      <c r="J319" s="114">
        <v>65010.421078578671</v>
      </c>
      <c r="K319" s="114">
        <v>5.8271460793208135E-2</v>
      </c>
      <c r="L319" s="114">
        <v>4399.4857816312169</v>
      </c>
      <c r="M319" s="114"/>
      <c r="N319" s="163">
        <v>2.1086821750582172</v>
      </c>
      <c r="O319" s="163">
        <v>2.0663214335443953</v>
      </c>
      <c r="P319" s="324">
        <v>5916.8636420022212</v>
      </c>
      <c r="Q319" s="114">
        <v>3.5739831412007148</v>
      </c>
      <c r="R319" s="114">
        <v>154440.00592120746</v>
      </c>
      <c r="S319" s="114">
        <v>0.14296723373170298</v>
      </c>
      <c r="T319" s="114">
        <v>1278.9219891177786</v>
      </c>
      <c r="U319" s="114">
        <v>43.228921418760017</v>
      </c>
      <c r="V319" s="114">
        <v>3795.8447590758742</v>
      </c>
      <c r="W319" s="114">
        <v>6.5049795386839699</v>
      </c>
      <c r="X319" s="114">
        <v>610055.22685134038</v>
      </c>
      <c r="Y319" s="114">
        <v>0.1385009766272208</v>
      </c>
      <c r="Z319" s="114">
        <v>4299.476081020377</v>
      </c>
      <c r="AA319" s="114">
        <v>6.5884526655471882</v>
      </c>
      <c r="AB319" s="114">
        <v>119814.27989907026</v>
      </c>
      <c r="AC319" s="114">
        <v>0.24677690639120742</v>
      </c>
      <c r="AD319" s="114">
        <v>540745.32969174138</v>
      </c>
      <c r="AE319" s="114">
        <v>0.16207813783294134</v>
      </c>
      <c r="AF319" s="382">
        <v>4.374873132799288</v>
      </c>
      <c r="AG319" s="163">
        <v>0.11869392957805958</v>
      </c>
      <c r="AH319" s="436">
        <v>4.5142840825010824</v>
      </c>
      <c r="AI319" s="434">
        <v>0.20551848932134828</v>
      </c>
      <c r="AJ319" s="21">
        <v>0</v>
      </c>
      <c r="AL319" s="21">
        <v>0</v>
      </c>
    </row>
    <row r="320" spans="1:38" s="21" customFormat="1" x14ac:dyDescent="0.15">
      <c r="A320" s="113" t="s">
        <v>898</v>
      </c>
      <c r="B320" s="324">
        <v>18746.075270807767</v>
      </c>
      <c r="C320" s="114">
        <v>0.13728749386807021</v>
      </c>
      <c r="D320" s="114">
        <v>30579.540186111008</v>
      </c>
      <c r="E320" s="114">
        <v>7.0944197839315354E-2</v>
      </c>
      <c r="F320" s="114">
        <v>8523.7773261440379</v>
      </c>
      <c r="G320" s="114">
        <v>0.88110016484503384</v>
      </c>
      <c r="H320" s="114">
        <v>8523.7773261440379</v>
      </c>
      <c r="I320" s="114">
        <v>0.88110016484503384</v>
      </c>
      <c r="J320" s="114">
        <v>64751.620283187614</v>
      </c>
      <c r="K320" s="114">
        <v>5.0358275157582774E-2</v>
      </c>
      <c r="L320" s="114">
        <v>4211.9982210185954</v>
      </c>
      <c r="M320" s="114"/>
      <c r="N320" s="163">
        <v>2.1174818159168169</v>
      </c>
      <c r="O320" s="163">
        <v>2.0846945056705728</v>
      </c>
      <c r="P320" s="324">
        <v>5796.3244485473151</v>
      </c>
      <c r="Q320" s="114">
        <v>3.7222853955881301</v>
      </c>
      <c r="R320" s="114">
        <v>149106.49282339212</v>
      </c>
      <c r="S320" s="114">
        <v>0.13774488441629121</v>
      </c>
      <c r="T320" s="114">
        <v>2350.8183231455855</v>
      </c>
      <c r="U320" s="114">
        <v>23.250185032708494</v>
      </c>
      <c r="V320" s="114">
        <v>4220.6289999703686</v>
      </c>
      <c r="W320" s="114">
        <v>6.509179274471129</v>
      </c>
      <c r="X320" s="114">
        <v>586517.25563998346</v>
      </c>
      <c r="Y320" s="114">
        <v>0.1014190461877445</v>
      </c>
      <c r="Z320" s="114">
        <v>3881.7939850067228</v>
      </c>
      <c r="AA320" s="114">
        <v>6.1009526153874791</v>
      </c>
      <c r="AB320" s="114">
        <v>114306.32363731072</v>
      </c>
      <c r="AC320" s="114">
        <v>0.25672591419678975</v>
      </c>
      <c r="AD320" s="114">
        <v>517883.84137178923</v>
      </c>
      <c r="AE320" s="114">
        <v>0.13377862077759839</v>
      </c>
      <c r="AF320" s="382">
        <v>4.3697862742941567</v>
      </c>
      <c r="AG320" s="163">
        <v>0.13973713620887648</v>
      </c>
      <c r="AH320" s="436">
        <v>4.5322799669108669</v>
      </c>
      <c r="AI320" s="434">
        <v>0.24643581146346463</v>
      </c>
      <c r="AJ320" s="21">
        <v>0</v>
      </c>
      <c r="AL320" s="21">
        <v>0</v>
      </c>
    </row>
    <row r="321" spans="1:38" s="21" customFormat="1" x14ac:dyDescent="0.15">
      <c r="A321" s="113" t="s">
        <v>899</v>
      </c>
      <c r="B321" s="324">
        <v>18886.516687036001</v>
      </c>
      <c r="C321" s="114">
        <v>0.12787624973654729</v>
      </c>
      <c r="D321" s="114">
        <v>30538.726269695682</v>
      </c>
      <c r="E321" s="114">
        <v>6.8648929265232625E-2</v>
      </c>
      <c r="F321" s="114">
        <v>9030.5224997864443</v>
      </c>
      <c r="G321" s="114">
        <v>0.8597759424237742</v>
      </c>
      <c r="H321" s="114">
        <v>9030.5224997864443</v>
      </c>
      <c r="I321" s="114">
        <v>0.8597759424237742</v>
      </c>
      <c r="J321" s="114">
        <v>64511.989244514531</v>
      </c>
      <c r="K321" s="114">
        <v>5.1794089201967916E-2</v>
      </c>
      <c r="L321" s="114">
        <v>4383.4275399075614</v>
      </c>
      <c r="M321" s="114"/>
      <c r="N321" s="163">
        <v>2.1124649625132315</v>
      </c>
      <c r="O321" s="163">
        <v>2.0687441492286824</v>
      </c>
      <c r="P321" s="324">
        <v>5736.3668753468692</v>
      </c>
      <c r="Q321" s="114">
        <v>3.0831236351633393</v>
      </c>
      <c r="R321" s="114">
        <v>149142.50196821528</v>
      </c>
      <c r="S321" s="114">
        <v>0.15462845126955174</v>
      </c>
      <c r="T321" s="114">
        <v>1838.7038740108228</v>
      </c>
      <c r="U321" s="114">
        <v>31.579855831131809</v>
      </c>
      <c r="V321" s="114">
        <v>3953.8914921182591</v>
      </c>
      <c r="W321" s="114">
        <v>6.6131458218937951</v>
      </c>
      <c r="X321" s="114">
        <v>584489.56296130002</v>
      </c>
      <c r="Y321" s="114">
        <v>0.13910392546208436</v>
      </c>
      <c r="Z321" s="114">
        <v>2614.5526983288014</v>
      </c>
      <c r="AA321" s="114">
        <v>9.5546799737814698</v>
      </c>
      <c r="AB321" s="114">
        <v>114649.88420640136</v>
      </c>
      <c r="AC321" s="114">
        <v>0.27061706010181641</v>
      </c>
      <c r="AD321" s="114">
        <v>517363.0210184569</v>
      </c>
      <c r="AE321" s="114">
        <v>0.15488854218776896</v>
      </c>
      <c r="AF321" s="382">
        <v>4.3624380420548095</v>
      </c>
      <c r="AG321" s="163">
        <v>0.11034532320969737</v>
      </c>
      <c r="AH321" s="436">
        <v>4.513745669813729</v>
      </c>
      <c r="AI321" s="434">
        <v>0.20726786274650272</v>
      </c>
      <c r="AJ321" s="21">
        <v>0</v>
      </c>
      <c r="AL321" s="21">
        <v>0</v>
      </c>
    </row>
    <row r="322" spans="1:38" s="21" customFormat="1" x14ac:dyDescent="0.15">
      <c r="A322" s="113" t="s">
        <v>900</v>
      </c>
      <c r="B322" s="324">
        <v>18668.423315912303</v>
      </c>
      <c r="C322" s="114">
        <v>0.14036618218496524</v>
      </c>
      <c r="D322" s="114">
        <v>30645.689117935879</v>
      </c>
      <c r="E322" s="114">
        <v>9.0859638215776903E-2</v>
      </c>
      <c r="F322" s="114">
        <v>8449.6831400773335</v>
      </c>
      <c r="G322" s="114">
        <v>0.9026356090234261</v>
      </c>
      <c r="H322" s="114">
        <v>8449.6831400773335</v>
      </c>
      <c r="I322" s="114">
        <v>0.9026356090234261</v>
      </c>
      <c r="J322" s="114">
        <v>64431.569045151082</v>
      </c>
      <c r="K322" s="114">
        <v>7.5566872733367971E-2</v>
      </c>
      <c r="L322" s="114">
        <v>4525.8161245011597</v>
      </c>
      <c r="M322" s="114"/>
      <c r="N322" s="163">
        <v>2.102467619416053</v>
      </c>
      <c r="O322" s="163">
        <v>2.1028482590848396</v>
      </c>
      <c r="P322" s="324">
        <v>5694.3385009825206</v>
      </c>
      <c r="Q322" s="114">
        <v>3.4180516648241666</v>
      </c>
      <c r="R322" s="114">
        <v>151371.19856246439</v>
      </c>
      <c r="S322" s="114">
        <v>0.13277381636132413</v>
      </c>
      <c r="T322" s="114">
        <v>3022.9737576307125</v>
      </c>
      <c r="U322" s="114">
        <v>21.489056335291412</v>
      </c>
      <c r="V322" s="114">
        <v>4472.6726224760396</v>
      </c>
      <c r="W322" s="114">
        <v>7.1571591495206714</v>
      </c>
      <c r="X322" s="114">
        <v>596833.19367867266</v>
      </c>
      <c r="Y322" s="114">
        <v>0.13841572802652968</v>
      </c>
      <c r="Z322" s="114">
        <v>4991.6281443720882</v>
      </c>
      <c r="AA322" s="114">
        <v>4.0811071283632971</v>
      </c>
      <c r="AB322" s="114">
        <v>116252.83682205249</v>
      </c>
      <c r="AC322" s="114">
        <v>0.3180426962421592</v>
      </c>
      <c r="AD322" s="114">
        <v>527409.99648914929</v>
      </c>
      <c r="AE322" s="114">
        <v>0.16805080837013342</v>
      </c>
      <c r="AF322" s="382">
        <v>4.3688901249924399</v>
      </c>
      <c r="AG322" s="163">
        <v>0.11831660104007689</v>
      </c>
      <c r="AH322" s="436">
        <v>4.5394908635039917</v>
      </c>
      <c r="AI322" s="434">
        <v>0.29932974598576956</v>
      </c>
      <c r="AJ322" s="21">
        <v>0</v>
      </c>
      <c r="AL322" s="21">
        <v>0</v>
      </c>
    </row>
    <row r="323" spans="1:38" s="21" customFormat="1" x14ac:dyDescent="0.15">
      <c r="A323" s="113" t="s">
        <v>901</v>
      </c>
      <c r="B323" s="324">
        <v>18714.057361988889</v>
      </c>
      <c r="C323" s="114">
        <v>0.11568482002998659</v>
      </c>
      <c r="D323" s="114">
        <v>30917.138520159726</v>
      </c>
      <c r="E323" s="114">
        <v>0.12758821887948563</v>
      </c>
      <c r="F323" s="114">
        <v>17525.992504671704</v>
      </c>
      <c r="G323" s="114">
        <v>0.11715716299998122</v>
      </c>
      <c r="H323" s="114">
        <v>17525.992504671704</v>
      </c>
      <c r="I323" s="114">
        <v>0.11715716299998122</v>
      </c>
      <c r="J323" s="114">
        <v>65734.651078080686</v>
      </c>
      <c r="K323" s="114">
        <v>0.19870858485960005</v>
      </c>
      <c r="L323" s="114">
        <v>4607.4311157472866</v>
      </c>
      <c r="M323" s="114"/>
      <c r="N323" s="163">
        <v>2.1261557254148205</v>
      </c>
      <c r="O323" s="163">
        <v>2.0687159835033602</v>
      </c>
      <c r="P323" s="324">
        <v>4990.6597869328589</v>
      </c>
      <c r="Q323" s="114">
        <v>3.3407479508095856</v>
      </c>
      <c r="R323" s="114">
        <v>833625.2869931754</v>
      </c>
      <c r="S323" s="114">
        <v>0.21287321524260422</v>
      </c>
      <c r="T323" s="114">
        <v>4295.5595158077122</v>
      </c>
      <c r="U323" s="114">
        <v>3.0288755760744275</v>
      </c>
      <c r="V323" s="114">
        <v>4672.7772194221725</v>
      </c>
      <c r="W323" s="114">
        <v>2.3570235739397369</v>
      </c>
      <c r="X323" s="114">
        <v>3709679.6121064299</v>
      </c>
      <c r="Y323" s="114">
        <v>0.21490780184745348</v>
      </c>
      <c r="Z323" s="114">
        <v>3880.4681632676425</v>
      </c>
      <c r="AA323" s="114">
        <v>5.5503129682350254</v>
      </c>
      <c r="AB323" s="114">
        <v>798035.37125359359</v>
      </c>
      <c r="AC323" s="114">
        <v>0.22036410052061697</v>
      </c>
      <c r="AD323" s="114">
        <v>3640064.4928650809</v>
      </c>
      <c r="AE323" s="114">
        <v>0.21830679970296993</v>
      </c>
      <c r="AF323" s="382">
        <v>4.5345569093167484</v>
      </c>
      <c r="AG323" s="163">
        <v>2.682807787521926E-2</v>
      </c>
      <c r="AH323" s="436">
        <v>4.5613188704879457</v>
      </c>
      <c r="AI323" s="434">
        <v>3.0446253402880864E-2</v>
      </c>
      <c r="AJ323" s="21">
        <v>0</v>
      </c>
      <c r="AL323" s="21">
        <v>0</v>
      </c>
    </row>
    <row r="324" spans="1:38" s="21" customFormat="1" x14ac:dyDescent="0.15">
      <c r="A324" s="113" t="s">
        <v>902</v>
      </c>
      <c r="B324" s="324">
        <v>18577.178937954232</v>
      </c>
      <c r="C324" s="114">
        <v>0.11602699596862402</v>
      </c>
      <c r="D324" s="114">
        <v>30852.940515963055</v>
      </c>
      <c r="E324" s="114">
        <v>7.5489237036651224E-2</v>
      </c>
      <c r="F324" s="114">
        <v>17367.482342345338</v>
      </c>
      <c r="G324" s="114">
        <v>0.11242507981921535</v>
      </c>
      <c r="H324" s="114">
        <v>17367.482342345338</v>
      </c>
      <c r="I324" s="114">
        <v>0.11242507981921535</v>
      </c>
      <c r="J324" s="114">
        <v>64911.037418816872</v>
      </c>
      <c r="K324" s="114">
        <v>0.11850544383269367</v>
      </c>
      <c r="L324" s="114">
        <v>4741.7801786755726</v>
      </c>
      <c r="M324" s="114"/>
      <c r="N324" s="163">
        <v>2.1038849566132098</v>
      </c>
      <c r="O324" s="163">
        <v>2.0748462232892599</v>
      </c>
      <c r="P324" s="324">
        <v>5014.7469721599036</v>
      </c>
      <c r="Q324" s="114">
        <v>3.2360492241768921</v>
      </c>
      <c r="R324" s="114">
        <v>761998.42855146364</v>
      </c>
      <c r="S324" s="114">
        <v>0.2009167724794805</v>
      </c>
      <c r="T324" s="114">
        <v>4438.4002743088358</v>
      </c>
      <c r="U324" s="114">
        <v>4.1682257442630233</v>
      </c>
      <c r="V324" s="114">
        <v>4751.1726711563324</v>
      </c>
      <c r="W324" s="114">
        <v>2.6802833203289467</v>
      </c>
      <c r="X324" s="114">
        <v>3385233.8632307583</v>
      </c>
      <c r="Y324" s="114">
        <v>0.20147413493948371</v>
      </c>
      <c r="Z324" s="114">
        <v>4651.8033729025401</v>
      </c>
      <c r="AA324" s="114">
        <v>5.4344863622736606</v>
      </c>
      <c r="AB324" s="114">
        <v>726394.31536434416</v>
      </c>
      <c r="AC324" s="114">
        <v>0.20997654292781107</v>
      </c>
      <c r="AD324" s="114">
        <v>3315671.0224390379</v>
      </c>
      <c r="AE324" s="114">
        <v>0.204916720473</v>
      </c>
      <c r="AF324" s="382">
        <v>4.5331627157358385</v>
      </c>
      <c r="AG324" s="163">
        <v>2.1221913075101104E-2</v>
      </c>
      <c r="AH324" s="436">
        <v>4.5646096419222939</v>
      </c>
      <c r="AI324" s="434">
        <v>2.3658813215301173E-2</v>
      </c>
      <c r="AJ324" s="21">
        <v>0</v>
      </c>
      <c r="AL324" s="21">
        <v>0</v>
      </c>
    </row>
    <row r="325" spans="1:38" s="21" customFormat="1" x14ac:dyDescent="0.15">
      <c r="A325" s="113" t="s">
        <v>903</v>
      </c>
      <c r="B325" s="324">
        <v>18307.508378569713</v>
      </c>
      <c r="C325" s="114">
        <v>0.11958346457122905</v>
      </c>
      <c r="D325" s="114">
        <v>30603.380009123666</v>
      </c>
      <c r="E325" s="114">
        <v>8.3402888990377122E-2</v>
      </c>
      <c r="F325" s="114">
        <v>17326.038981013666</v>
      </c>
      <c r="G325" s="114">
        <v>0.10846386900797796</v>
      </c>
      <c r="H325" s="114">
        <v>17326.038981013666</v>
      </c>
      <c r="I325" s="114">
        <v>0.10846386900797796</v>
      </c>
      <c r="J325" s="114">
        <v>64955.417421639962</v>
      </c>
      <c r="K325" s="114">
        <v>0.11340169588239256</v>
      </c>
      <c r="L325" s="114">
        <v>4758.1811800789574</v>
      </c>
      <c r="M325" s="114"/>
      <c r="N325" s="163">
        <v>2.1224916137457712</v>
      </c>
      <c r="O325" s="163">
        <v>2.1155431358026786</v>
      </c>
      <c r="P325" s="324">
        <v>5157.777724413877</v>
      </c>
      <c r="Q325" s="114">
        <v>2.9998980216385807</v>
      </c>
      <c r="R325" s="114">
        <v>742944.78095993272</v>
      </c>
      <c r="S325" s="114">
        <v>0.18050536622083824</v>
      </c>
      <c r="T325" s="114">
        <v>4133.1173713120979</v>
      </c>
      <c r="U325" s="114">
        <v>3.6658540731254892</v>
      </c>
      <c r="V325" s="114">
        <v>4689.1810666350502</v>
      </c>
      <c r="W325" s="114">
        <v>2.1912295366085588</v>
      </c>
      <c r="X325" s="114">
        <v>3297092.6194283525</v>
      </c>
      <c r="Y325" s="114">
        <v>0.18577668064548863</v>
      </c>
      <c r="Z325" s="114">
        <v>4611.7885608087727</v>
      </c>
      <c r="AA325" s="114">
        <v>6.2083990132440814</v>
      </c>
      <c r="AB325" s="114">
        <v>707652.21988417394</v>
      </c>
      <c r="AC325" s="114">
        <v>0.19136789660953801</v>
      </c>
      <c r="AD325" s="114">
        <v>3227525.4134459053</v>
      </c>
      <c r="AE325" s="114">
        <v>0.18905742181879054</v>
      </c>
      <c r="AF325" s="382">
        <v>4.5312444933713927</v>
      </c>
      <c r="AG325" s="163">
        <v>2.17594616894927E-2</v>
      </c>
      <c r="AH325" s="436">
        <v>4.5609165886971663</v>
      </c>
      <c r="AI325" s="434">
        <v>2.2815031127684508E-2</v>
      </c>
      <c r="AJ325" s="21">
        <v>0</v>
      </c>
      <c r="AL325" s="21">
        <v>0</v>
      </c>
    </row>
    <row r="326" spans="1:38" s="21" customFormat="1" x14ac:dyDescent="0.15">
      <c r="A326" s="113" t="s">
        <v>904</v>
      </c>
      <c r="B326" s="324">
        <v>18467.770672413215</v>
      </c>
      <c r="C326" s="114">
        <v>0.10756314087951206</v>
      </c>
      <c r="D326" s="114">
        <v>30748.037333981116</v>
      </c>
      <c r="E326" s="114">
        <v>8.9698847583926489E-2</v>
      </c>
      <c r="F326" s="114">
        <v>17319.891338429286</v>
      </c>
      <c r="G326" s="114">
        <v>0.11383422823520591</v>
      </c>
      <c r="H326" s="114">
        <v>17319.891338429286</v>
      </c>
      <c r="I326" s="114">
        <v>0.11383422823520591</v>
      </c>
      <c r="J326" s="114">
        <v>65578.452034855727</v>
      </c>
      <c r="K326" s="114">
        <v>0.18532998976069845</v>
      </c>
      <c r="L326" s="114">
        <v>4556.9256316119918</v>
      </c>
      <c r="M326" s="114"/>
      <c r="N326" s="163">
        <v>2.1327687137410187</v>
      </c>
      <c r="O326" s="163">
        <v>2.1210769569212364</v>
      </c>
      <c r="P326" s="324">
        <v>4712.4804760895513</v>
      </c>
      <c r="Q326" s="114">
        <v>3.628118327866122</v>
      </c>
      <c r="R326" s="114">
        <v>926840.81593296351</v>
      </c>
      <c r="S326" s="114">
        <v>0.16151350472725901</v>
      </c>
      <c r="T326" s="114">
        <v>4250.6216171927608</v>
      </c>
      <c r="U326" s="114">
        <v>3.8053223595128323</v>
      </c>
      <c r="V326" s="114">
        <v>4501.263640199074</v>
      </c>
      <c r="W326" s="114">
        <v>2.6025758609415548</v>
      </c>
      <c r="X326" s="114">
        <v>4135322.5700808335</v>
      </c>
      <c r="Y326" s="114">
        <v>0.16075477479193626</v>
      </c>
      <c r="Z326" s="114">
        <v>3914.0579910702218</v>
      </c>
      <c r="AA326" s="114">
        <v>5.5749726251354517</v>
      </c>
      <c r="AB326" s="114">
        <v>891591.51495878305</v>
      </c>
      <c r="AC326" s="114">
        <v>0.16736428017811769</v>
      </c>
      <c r="AD326" s="114">
        <v>4065830.060054909</v>
      </c>
      <c r="AE326" s="114">
        <v>0.16251144399629269</v>
      </c>
      <c r="AF326" s="382">
        <v>4.537027294266549</v>
      </c>
      <c r="AG326" s="163">
        <v>2.1035751284355298E-2</v>
      </c>
      <c r="AH326" s="436">
        <v>4.5602382804490746</v>
      </c>
      <c r="AI326" s="434">
        <v>2.606075392582214E-2</v>
      </c>
      <c r="AJ326" s="21">
        <v>0</v>
      </c>
      <c r="AL326" s="21">
        <v>0</v>
      </c>
    </row>
    <row r="327" spans="1:38" s="21" customFormat="1" x14ac:dyDescent="0.15">
      <c r="A327" s="113" t="s">
        <v>905</v>
      </c>
      <c r="B327" s="324">
        <v>18385.274851495644</v>
      </c>
      <c r="C327" s="114">
        <v>0.12024961003092276</v>
      </c>
      <c r="D327" s="114">
        <v>30615.890409234988</v>
      </c>
      <c r="E327" s="114">
        <v>0.10915754241211641</v>
      </c>
      <c r="F327" s="114">
        <v>17353.955832776825</v>
      </c>
      <c r="G327" s="114">
        <v>0.1124596855367636</v>
      </c>
      <c r="H327" s="114">
        <v>17353.955832776825</v>
      </c>
      <c r="I327" s="114">
        <v>0.1124596855367636</v>
      </c>
      <c r="J327" s="114">
        <v>65399.320557868959</v>
      </c>
      <c r="K327" s="114">
        <v>0.18593938967942242</v>
      </c>
      <c r="L327" s="114">
        <v>4737.2563558390057</v>
      </c>
      <c r="M327" s="114"/>
      <c r="N327" s="163">
        <v>2.1361234209978059</v>
      </c>
      <c r="O327" s="163">
        <v>2.1241927723189478</v>
      </c>
      <c r="P327" s="324">
        <v>5008.2239365649111</v>
      </c>
      <c r="Q327" s="114">
        <v>3.8837475099556791</v>
      </c>
      <c r="R327" s="114">
        <v>976503.4461239404</v>
      </c>
      <c r="S327" s="114">
        <v>0.14543879867560422</v>
      </c>
      <c r="T327" s="114">
        <v>4247.887790830503</v>
      </c>
      <c r="U327" s="114">
        <v>4.3330633438471242</v>
      </c>
      <c r="V327" s="114">
        <v>4660.5077634924992</v>
      </c>
      <c r="W327" s="114">
        <v>2.7669897881329506</v>
      </c>
      <c r="X327" s="114">
        <v>4363450.081688351</v>
      </c>
      <c r="Y327" s="114">
        <v>0.14712696683294085</v>
      </c>
      <c r="Z327" s="114">
        <v>4069.432787178599</v>
      </c>
      <c r="AA327" s="114">
        <v>5.062706174568671</v>
      </c>
      <c r="AB327" s="114">
        <v>941227.04795121273</v>
      </c>
      <c r="AC327" s="114">
        <v>0.15068817178610514</v>
      </c>
      <c r="AD327" s="114">
        <v>4293981.3283433039</v>
      </c>
      <c r="AE327" s="114">
        <v>0.15007408880092682</v>
      </c>
      <c r="AF327" s="382">
        <v>4.5406040730984616</v>
      </c>
      <c r="AG327" s="163">
        <v>2.1783518704852504E-2</v>
      </c>
      <c r="AH327" s="436">
        <v>4.5621241434048141</v>
      </c>
      <c r="AI327" s="434">
        <v>2.3925891330887877E-2</v>
      </c>
      <c r="AJ327" s="21">
        <v>0</v>
      </c>
      <c r="AL327" s="21">
        <v>0</v>
      </c>
    </row>
    <row r="328" spans="1:38" s="21" customFormat="1" x14ac:dyDescent="0.15">
      <c r="A328" s="113" t="s">
        <v>906</v>
      </c>
      <c r="B328" s="324">
        <v>18455.79473200989</v>
      </c>
      <c r="C328" s="114">
        <v>0.11825045541536461</v>
      </c>
      <c r="D328" s="114">
        <v>30612.876350005507</v>
      </c>
      <c r="E328" s="114">
        <v>8.7187564316153335E-2</v>
      </c>
      <c r="F328" s="114">
        <v>17311.80891826599</v>
      </c>
      <c r="G328" s="114">
        <v>0.11643965321903596</v>
      </c>
      <c r="H328" s="114">
        <v>17311.80891826599</v>
      </c>
      <c r="I328" s="114">
        <v>0.11643965321903596</v>
      </c>
      <c r="J328" s="114">
        <v>65319.436698944803</v>
      </c>
      <c r="K328" s="114">
        <v>0.15988884791464092</v>
      </c>
      <c r="L328" s="114">
        <v>4681.2045587240418</v>
      </c>
      <c r="M328" s="114"/>
      <c r="N328" s="163">
        <v>2.1337242522437148</v>
      </c>
      <c r="O328" s="163">
        <v>2.1240125447154452</v>
      </c>
      <c r="P328" s="324">
        <v>4997.4209829093143</v>
      </c>
      <c r="Q328" s="114">
        <v>3.9916826112474229</v>
      </c>
      <c r="R328" s="114">
        <v>1004388.5440419129</v>
      </c>
      <c r="S328" s="114">
        <v>0.20451999755125502</v>
      </c>
      <c r="T328" s="114">
        <v>4442.508675775307</v>
      </c>
      <c r="U328" s="114">
        <v>3.7221547208590127</v>
      </c>
      <c r="V328" s="114">
        <v>4743.6490362382183</v>
      </c>
      <c r="W328" s="114">
        <v>2.7711582248028113</v>
      </c>
      <c r="X328" s="114">
        <v>4493008.5590141499</v>
      </c>
      <c r="Y328" s="114">
        <v>0.20556020706885414</v>
      </c>
      <c r="Z328" s="114">
        <v>3962.0353093834588</v>
      </c>
      <c r="AA328" s="114">
        <v>4.7832045623204777</v>
      </c>
      <c r="AB328" s="114">
        <v>969032.01865566918</v>
      </c>
      <c r="AC328" s="114">
        <v>0.21109737675333207</v>
      </c>
      <c r="AD328" s="114">
        <v>4423727.0870058257</v>
      </c>
      <c r="AE328" s="114">
        <v>0.20829590684365881</v>
      </c>
      <c r="AF328" s="382">
        <v>4.5423699919693492</v>
      </c>
      <c r="AG328" s="163">
        <v>1.7258601831158942E-2</v>
      </c>
      <c r="AH328" s="436">
        <v>4.5651291409088177</v>
      </c>
      <c r="AI328" s="434">
        <v>2.1017443200669259E-2</v>
      </c>
      <c r="AJ328" s="21">
        <v>0</v>
      </c>
      <c r="AL328" s="21">
        <v>0</v>
      </c>
    </row>
    <row r="329" spans="1:38" s="21" customFormat="1" x14ac:dyDescent="0.15">
      <c r="A329" s="113" t="s">
        <v>907</v>
      </c>
      <c r="B329" s="324">
        <v>18327.050311153464</v>
      </c>
      <c r="C329" s="114">
        <v>0.12109759381984923</v>
      </c>
      <c r="D329" s="114">
        <v>30694.021540486672</v>
      </c>
      <c r="E329" s="114">
        <v>0.1081794073317518</v>
      </c>
      <c r="F329" s="114">
        <v>17205.638744897558</v>
      </c>
      <c r="G329" s="114">
        <v>0.14192023576316606</v>
      </c>
      <c r="H329" s="114">
        <v>17205.638744897558</v>
      </c>
      <c r="I329" s="114">
        <v>0.14192023576316606</v>
      </c>
      <c r="J329" s="114">
        <v>65529.70044915731</v>
      </c>
      <c r="K329" s="114">
        <v>0.18801256729322455</v>
      </c>
      <c r="L329" s="114">
        <v>4825.037957727458</v>
      </c>
      <c r="M329" s="114"/>
      <c r="N329" s="163">
        <v>2.134933682858108</v>
      </c>
      <c r="O329" s="163">
        <v>2.1396308567666016</v>
      </c>
      <c r="P329" s="324">
        <v>5166.9334053200801</v>
      </c>
      <c r="Q329" s="114">
        <v>3.0104481138294381</v>
      </c>
      <c r="R329" s="114">
        <v>858631.66591961926</v>
      </c>
      <c r="S329" s="114">
        <v>0.18804762280018464</v>
      </c>
      <c r="T329" s="114">
        <v>4364.7681198558976</v>
      </c>
      <c r="U329" s="114">
        <v>3.3548283338242579</v>
      </c>
      <c r="V329" s="114">
        <v>4800.0879714972134</v>
      </c>
      <c r="W329" s="114">
        <v>2.0388742420416341</v>
      </c>
      <c r="X329" s="114">
        <v>3842160.6883677277</v>
      </c>
      <c r="Y329" s="114">
        <v>0.19226725644034584</v>
      </c>
      <c r="Z329" s="114">
        <v>4409.0500454103294</v>
      </c>
      <c r="AA329" s="114">
        <v>6.2774492472206704</v>
      </c>
      <c r="AB329" s="114">
        <v>823137.55640763498</v>
      </c>
      <c r="AC329" s="114">
        <v>0.19513049571649879</v>
      </c>
      <c r="AD329" s="114">
        <v>3772221.9378731586</v>
      </c>
      <c r="AE329" s="114">
        <v>0.1952830733602669</v>
      </c>
      <c r="AF329" s="382">
        <v>4.556303719192802</v>
      </c>
      <c r="AG329" s="163">
        <v>1.9662726902832595E-2</v>
      </c>
      <c r="AH329" s="436">
        <v>4.5827403441405492</v>
      </c>
      <c r="AI329" s="434">
        <v>1.8567429543867715E-2</v>
      </c>
      <c r="AJ329" s="21">
        <v>0</v>
      </c>
      <c r="AL329" s="21">
        <v>0</v>
      </c>
    </row>
    <row r="330" spans="1:38" s="21" customFormat="1" x14ac:dyDescent="0.15">
      <c r="A330" s="113" t="s">
        <v>908</v>
      </c>
      <c r="B330" s="324">
        <v>18383.871579111117</v>
      </c>
      <c r="C330" s="114">
        <v>0.1173524627932085</v>
      </c>
      <c r="D330" s="114">
        <v>30554.351565861311</v>
      </c>
      <c r="E330" s="114">
        <v>9.5590300016328886E-2</v>
      </c>
      <c r="F330" s="114">
        <v>17295.253470622694</v>
      </c>
      <c r="G330" s="114">
        <v>0.10780974230816984</v>
      </c>
      <c r="H330" s="114">
        <v>17295.253470622694</v>
      </c>
      <c r="I330" s="114">
        <v>0.10780974230816984</v>
      </c>
      <c r="J330" s="114">
        <v>64619.791930027102</v>
      </c>
      <c r="K330" s="114">
        <v>0.18023053198099792</v>
      </c>
      <c r="L330" s="114">
        <v>4708.4987336937365</v>
      </c>
      <c r="M330" s="114"/>
      <c r="N330" s="163">
        <v>2.1149128886187021</v>
      </c>
      <c r="O330" s="163">
        <v>2.1043642793144346</v>
      </c>
      <c r="P330" s="324">
        <v>5225.6322159199899</v>
      </c>
      <c r="Q330" s="114">
        <v>3.5920116041185057</v>
      </c>
      <c r="R330" s="114">
        <v>823656.10095131607</v>
      </c>
      <c r="S330" s="114">
        <v>0.19507850084519676</v>
      </c>
      <c r="T330" s="114">
        <v>4211.5077357782911</v>
      </c>
      <c r="U330" s="114">
        <v>3.9389631229189832</v>
      </c>
      <c r="V330" s="114">
        <v>4761.8538131277382</v>
      </c>
      <c r="W330" s="114">
        <v>2.5324704908467948</v>
      </c>
      <c r="X330" s="114">
        <v>3680920.6227740818</v>
      </c>
      <c r="Y330" s="114">
        <v>0.19345701770428297</v>
      </c>
      <c r="Z330" s="114">
        <v>4116.9874315316292</v>
      </c>
      <c r="AA330" s="114">
        <v>5.2957760291345766</v>
      </c>
      <c r="AB330" s="114">
        <v>788339.89557232731</v>
      </c>
      <c r="AC330" s="114">
        <v>0.20091812853866797</v>
      </c>
      <c r="AD330" s="114">
        <v>3612183.8434125222</v>
      </c>
      <c r="AE330" s="114">
        <v>0.19747423940506117</v>
      </c>
      <c r="AF330" s="382">
        <v>4.5541782700007065</v>
      </c>
      <c r="AG330" s="163">
        <v>2.2047442342255932E-2</v>
      </c>
      <c r="AH330" s="436">
        <v>4.5820472429527834</v>
      </c>
      <c r="AI330" s="434">
        <v>2.4413146792791041E-2</v>
      </c>
      <c r="AJ330" s="21">
        <v>0</v>
      </c>
      <c r="AL330" s="21">
        <v>0</v>
      </c>
    </row>
    <row r="331" spans="1:38" s="21" customFormat="1" x14ac:dyDescent="0.15">
      <c r="A331" s="113" t="s">
        <v>909</v>
      </c>
      <c r="B331" s="324">
        <v>18427.914928151327</v>
      </c>
      <c r="C331" s="114">
        <v>0.13912558649284379</v>
      </c>
      <c r="D331" s="114">
        <v>30592.484454344391</v>
      </c>
      <c r="E331" s="114">
        <v>8.8216175118703902E-2</v>
      </c>
      <c r="F331" s="114">
        <v>17408.874125373968</v>
      </c>
      <c r="G331" s="114">
        <v>0.10334368801090167</v>
      </c>
      <c r="H331" s="114">
        <v>17408.874125373968</v>
      </c>
      <c r="I331" s="114">
        <v>0.10334368801090167</v>
      </c>
      <c r="J331" s="114">
        <v>64382.142850732649</v>
      </c>
      <c r="K331" s="114">
        <v>0.14052347795112921</v>
      </c>
      <c r="L331" s="114">
        <v>4514.5859958550582</v>
      </c>
      <c r="M331" s="114"/>
      <c r="N331" s="163">
        <v>2.10450847647942</v>
      </c>
      <c r="O331" s="163">
        <v>2.0867193691920192</v>
      </c>
      <c r="P331" s="324">
        <v>4904.8363761168903</v>
      </c>
      <c r="Q331" s="114">
        <v>3.7485514148963843</v>
      </c>
      <c r="R331" s="114">
        <v>979727.45319100353</v>
      </c>
      <c r="S331" s="114">
        <v>0.17259015540633554</v>
      </c>
      <c r="T331" s="114">
        <v>4145.9021877417854</v>
      </c>
      <c r="U331" s="114">
        <v>4.3369816340631502</v>
      </c>
      <c r="V331" s="114">
        <v>4557.7613447954282</v>
      </c>
      <c r="W331" s="114">
        <v>2.9642387099435115</v>
      </c>
      <c r="X331" s="114">
        <v>4380708.4309523087</v>
      </c>
      <c r="Y331" s="114">
        <v>0.17396222797836838</v>
      </c>
      <c r="Z331" s="114">
        <v>4351.4163937753365</v>
      </c>
      <c r="AA331" s="114">
        <v>5.7330308754821466</v>
      </c>
      <c r="AB331" s="114">
        <v>944577.20739186404</v>
      </c>
      <c r="AC331" s="114">
        <v>0.17731554621055842</v>
      </c>
      <c r="AD331" s="114">
        <v>4311974.8717078008</v>
      </c>
      <c r="AE331" s="114">
        <v>0.17755617148487748</v>
      </c>
      <c r="AF331" s="382">
        <v>4.5435883684811635</v>
      </c>
      <c r="AG331" s="163">
        <v>1.6465085677702149E-2</v>
      </c>
      <c r="AH331" s="436">
        <v>4.564984007304191</v>
      </c>
      <c r="AI331" s="434">
        <v>1.9050828754420251E-2</v>
      </c>
      <c r="AJ331" s="21">
        <v>0</v>
      </c>
      <c r="AL331" s="21">
        <v>0</v>
      </c>
    </row>
    <row r="332" spans="1:38" s="21" customFormat="1" x14ac:dyDescent="0.15">
      <c r="A332" s="113" t="s">
        <v>910</v>
      </c>
      <c r="B332" s="324">
        <v>18434.220980726102</v>
      </c>
      <c r="C332" s="114">
        <v>9.8916849312025573E-2</v>
      </c>
      <c r="D332" s="114">
        <v>30410.622085180432</v>
      </c>
      <c r="E332" s="114">
        <v>6.6192151591280585E-2</v>
      </c>
      <c r="F332" s="114">
        <v>17329.827074548099</v>
      </c>
      <c r="G332" s="114">
        <v>0.13151423406721516</v>
      </c>
      <c r="H332" s="114">
        <v>17329.827074548099</v>
      </c>
      <c r="I332" s="114">
        <v>0.13151423406721516</v>
      </c>
      <c r="J332" s="114">
        <v>64569.303057476463</v>
      </c>
      <c r="K332" s="114">
        <v>9.3581430303650889E-2</v>
      </c>
      <c r="L332" s="114">
        <v>4586.1841938442576</v>
      </c>
      <c r="M332" s="114"/>
      <c r="N332" s="163">
        <v>2.1232483464697713</v>
      </c>
      <c r="O332" s="163">
        <v>2.0843905694717173</v>
      </c>
      <c r="P332" s="324">
        <v>4909.6876787897982</v>
      </c>
      <c r="Q332" s="114">
        <v>3.5656902301176459</v>
      </c>
      <c r="R332" s="114">
        <v>882552.99646277074</v>
      </c>
      <c r="S332" s="114">
        <v>0.19554379099658775</v>
      </c>
      <c r="T332" s="114">
        <v>4276.8251334542074</v>
      </c>
      <c r="U332" s="114">
        <v>4.2600619563955036</v>
      </c>
      <c r="V332" s="114">
        <v>4620.2676063922027</v>
      </c>
      <c r="W332" s="114">
        <v>2.495756774260542</v>
      </c>
      <c r="X332" s="114">
        <v>3934421.0425765603</v>
      </c>
      <c r="Y332" s="114">
        <v>0.20165780900006353</v>
      </c>
      <c r="Z332" s="114">
        <v>3931.5759734206622</v>
      </c>
      <c r="AA332" s="114">
        <v>5.6707420630733942</v>
      </c>
      <c r="AB332" s="114">
        <v>847522.10677119775</v>
      </c>
      <c r="AC332" s="114">
        <v>0.20305940124409141</v>
      </c>
      <c r="AD332" s="114">
        <v>3865920.1635456621</v>
      </c>
      <c r="AE332" s="114">
        <v>0.20364311755790424</v>
      </c>
      <c r="AF332" s="382">
        <v>4.5356383050593676</v>
      </c>
      <c r="AG332" s="163">
        <v>1.8664702495921028E-2</v>
      </c>
      <c r="AH332" s="436">
        <v>4.5614415832654984</v>
      </c>
      <c r="AI332" s="434">
        <v>2.0692117961970825E-2</v>
      </c>
      <c r="AJ332" s="21">
        <v>0</v>
      </c>
      <c r="AL332" s="21">
        <v>0</v>
      </c>
    </row>
    <row r="333" spans="1:38" s="21" customFormat="1" x14ac:dyDescent="0.15">
      <c r="A333" s="113" t="s">
        <v>911</v>
      </c>
      <c r="B333" s="324">
        <v>18252.653925162242</v>
      </c>
      <c r="C333" s="114">
        <v>0.13791520784073905</v>
      </c>
      <c r="D333" s="114">
        <v>30587.418152799146</v>
      </c>
      <c r="E333" s="114">
        <v>0.10456710664209842</v>
      </c>
      <c r="F333" s="114">
        <v>17276.292704958658</v>
      </c>
      <c r="G333" s="114">
        <v>0.12426613915118244</v>
      </c>
      <c r="H333" s="114">
        <v>17276.292704958658</v>
      </c>
      <c r="I333" s="114">
        <v>0.12426613915118244</v>
      </c>
      <c r="J333" s="114">
        <v>64278.884832948512</v>
      </c>
      <c r="K333" s="114">
        <v>0.17225314254334853</v>
      </c>
      <c r="L333" s="114">
        <v>4661.2065262193883</v>
      </c>
      <c r="M333" s="114"/>
      <c r="N333" s="163">
        <v>2.1014812205412032</v>
      </c>
      <c r="O333" s="163">
        <v>2.1048966211128541</v>
      </c>
      <c r="P333" s="324">
        <v>5102.106592939801</v>
      </c>
      <c r="Q333" s="114">
        <v>3.4432114072944744</v>
      </c>
      <c r="R333" s="114">
        <v>977790.43126551516</v>
      </c>
      <c r="S333" s="114">
        <v>0.13897536244177033</v>
      </c>
      <c r="T333" s="114">
        <v>4136.7152567768517</v>
      </c>
      <c r="U333" s="114">
        <v>4.3099527886723266</v>
      </c>
      <c r="V333" s="114">
        <v>4660.6147832828919</v>
      </c>
      <c r="W333" s="114">
        <v>2.1296938408759449</v>
      </c>
      <c r="X333" s="114">
        <v>4374371.5940319747</v>
      </c>
      <c r="Y333" s="114">
        <v>0.14386244896738606</v>
      </c>
      <c r="Z333" s="114">
        <v>4017.5256068602653</v>
      </c>
      <c r="AA333" s="114">
        <v>5.8861463739999733</v>
      </c>
      <c r="AB333" s="114">
        <v>942542.39832943329</v>
      </c>
      <c r="AC333" s="114">
        <v>0.14294298153675103</v>
      </c>
      <c r="AD333" s="114">
        <v>4306075.183592164</v>
      </c>
      <c r="AE333" s="114">
        <v>0.14587009262689069</v>
      </c>
      <c r="AF333" s="382">
        <v>4.5464672922249454</v>
      </c>
      <c r="AG333" s="163">
        <v>1.8905044286861784E-2</v>
      </c>
      <c r="AH333" s="436">
        <v>4.5685669565866975</v>
      </c>
      <c r="AI333" s="434">
        <v>2.0845480269646822E-2</v>
      </c>
      <c r="AJ333" s="21">
        <v>0</v>
      </c>
      <c r="AL333" s="21">
        <v>0</v>
      </c>
    </row>
    <row r="334" spans="1:38" s="21" customFormat="1" x14ac:dyDescent="0.15">
      <c r="A334" s="113" t="s">
        <v>912</v>
      </c>
      <c r="B334" s="324">
        <v>18651.072241199916</v>
      </c>
      <c r="C334" s="114">
        <v>0.11500756346785199</v>
      </c>
      <c r="D334" s="114">
        <v>30661.233738572369</v>
      </c>
      <c r="E334" s="114">
        <v>0.10191626630677095</v>
      </c>
      <c r="F334" s="114">
        <v>17526.804779680599</v>
      </c>
      <c r="G334" s="114">
        <v>0.11260275562216297</v>
      </c>
      <c r="H334" s="114">
        <v>17526.804779680599</v>
      </c>
      <c r="I334" s="114">
        <v>0.11260275562216297</v>
      </c>
      <c r="J334" s="114">
        <v>65140.628806082954</v>
      </c>
      <c r="K334" s="114">
        <v>0.15856471985457268</v>
      </c>
      <c r="L334" s="114">
        <v>4577.7352514549193</v>
      </c>
      <c r="M334" s="114"/>
      <c r="N334" s="163">
        <v>2.1245273220736354</v>
      </c>
      <c r="O334" s="163">
        <v>2.0833186742269718</v>
      </c>
      <c r="P334" s="324">
        <v>4926.8845364888675</v>
      </c>
      <c r="Q334" s="114">
        <v>3.7819351682537707</v>
      </c>
      <c r="R334" s="114">
        <v>873665.2944437085</v>
      </c>
      <c r="S334" s="114">
        <v>0.21209504232215379</v>
      </c>
      <c r="T334" s="114">
        <v>4037.8925713427834</v>
      </c>
      <c r="U334" s="114">
        <v>4.1866730070187366</v>
      </c>
      <c r="V334" s="114">
        <v>4520.3316115136349</v>
      </c>
      <c r="W334" s="114">
        <v>2.87983672067358</v>
      </c>
      <c r="X334" s="114">
        <v>3917059.5196913481</v>
      </c>
      <c r="Y334" s="114">
        <v>0.21096422276106527</v>
      </c>
      <c r="Z334" s="114">
        <v>3458.1751354118605</v>
      </c>
      <c r="AA334" s="114">
        <v>5.9407001430539141</v>
      </c>
      <c r="AB334" s="114">
        <v>838483.72909362265</v>
      </c>
      <c r="AC334" s="114">
        <v>0.21693688735245475</v>
      </c>
      <c r="AD334" s="114">
        <v>3848460.7157498552</v>
      </c>
      <c r="AE334" s="114">
        <v>0.21322095336909339</v>
      </c>
      <c r="AF334" s="382">
        <v>4.5665433618094964</v>
      </c>
      <c r="AG334" s="163">
        <v>2.1059203544874391E-2</v>
      </c>
      <c r="AH334" s="436">
        <v>4.5898206657903104</v>
      </c>
      <c r="AI334" s="434">
        <v>1.9531425801812153E-2</v>
      </c>
      <c r="AJ334" s="21">
        <v>0</v>
      </c>
      <c r="AL334" s="21">
        <v>0</v>
      </c>
    </row>
    <row r="335" spans="1:38" s="21" customFormat="1" x14ac:dyDescent="0.15">
      <c r="A335" s="113" t="s">
        <v>913</v>
      </c>
      <c r="B335" s="324">
        <v>18464.291092381442</v>
      </c>
      <c r="C335" s="114">
        <v>0.10843231145337838</v>
      </c>
      <c r="D335" s="114">
        <v>30550.01880269231</v>
      </c>
      <c r="E335" s="114">
        <v>7.9585209172878271E-2</v>
      </c>
      <c r="F335" s="114">
        <v>17303.840544912349</v>
      </c>
      <c r="G335" s="114">
        <v>0.1052475118773811</v>
      </c>
      <c r="H335" s="114">
        <v>17303.840544912349</v>
      </c>
      <c r="I335" s="114">
        <v>0.1052475118773811</v>
      </c>
      <c r="J335" s="114">
        <v>65022.040375996774</v>
      </c>
      <c r="K335" s="114">
        <v>9.2404589950171284E-2</v>
      </c>
      <c r="L335" s="114">
        <v>4581.943198626398</v>
      </c>
      <c r="M335" s="114"/>
      <c r="N335" s="163">
        <v>2.1283797170778342</v>
      </c>
      <c r="O335" s="163">
        <v>2.1016184225201391</v>
      </c>
      <c r="P335" s="324">
        <v>5081.0576072181211</v>
      </c>
      <c r="Q335" s="114">
        <v>3.0592932091357494</v>
      </c>
      <c r="R335" s="114">
        <v>677313.71864955523</v>
      </c>
      <c r="S335" s="114">
        <v>0.24252000986244707</v>
      </c>
      <c r="T335" s="114">
        <v>4160.5353657601772</v>
      </c>
      <c r="U335" s="114">
        <v>4.5070350868316602</v>
      </c>
      <c r="V335" s="114">
        <v>4660.0852875099363</v>
      </c>
      <c r="W335" s="114">
        <v>2.223771663724885</v>
      </c>
      <c r="X335" s="114">
        <v>3000751.7022040645</v>
      </c>
      <c r="Y335" s="114">
        <v>0.24645947686318345</v>
      </c>
      <c r="Z335" s="114">
        <v>3941.6634154679869</v>
      </c>
      <c r="AA335" s="114">
        <v>6.1663257066972967</v>
      </c>
      <c r="AB335" s="114">
        <v>642103.6145593531</v>
      </c>
      <c r="AC335" s="114">
        <v>0.25489913499693811</v>
      </c>
      <c r="AD335" s="114">
        <v>2931787.9984125993</v>
      </c>
      <c r="AE335" s="114">
        <v>0.25129763775098507</v>
      </c>
      <c r="AF335" s="382">
        <v>4.5333166145451624</v>
      </c>
      <c r="AG335" s="163">
        <v>2.4561030014344121E-2</v>
      </c>
      <c r="AH335" s="436">
        <v>4.5659538253619889</v>
      </c>
      <c r="AI335" s="434">
        <v>2.5888532406118384E-2</v>
      </c>
      <c r="AJ335" s="21">
        <v>0</v>
      </c>
      <c r="AL335" s="21">
        <v>0</v>
      </c>
    </row>
    <row r="336" spans="1:38" s="21" customFormat="1" x14ac:dyDescent="0.15">
      <c r="A336" s="113" t="s">
        <v>914</v>
      </c>
      <c r="B336" s="324">
        <v>18487.83756938083</v>
      </c>
      <c r="C336" s="114">
        <v>0.11832884179830364</v>
      </c>
      <c r="D336" s="114">
        <v>30314.531066891253</v>
      </c>
      <c r="E336" s="114">
        <v>8.54259459685138E-2</v>
      </c>
      <c r="F336" s="114">
        <v>17444.194848180065</v>
      </c>
      <c r="G336" s="114">
        <v>0.13228057230853918</v>
      </c>
      <c r="H336" s="114">
        <v>17444.194848180065</v>
      </c>
      <c r="I336" s="114">
        <v>0.13228057230853918</v>
      </c>
      <c r="J336" s="114">
        <v>64146.702148777229</v>
      </c>
      <c r="K336" s="114">
        <v>0.11304516956188249</v>
      </c>
      <c r="L336" s="114">
        <v>4489.0380770266893</v>
      </c>
      <c r="M336" s="114"/>
      <c r="N336" s="163">
        <v>2.1160380811180217</v>
      </c>
      <c r="O336" s="163">
        <v>2.0585603550114473</v>
      </c>
      <c r="P336" s="324">
        <v>4791.8376989618328</v>
      </c>
      <c r="Q336" s="114">
        <v>3.6949615124251642</v>
      </c>
      <c r="R336" s="114">
        <v>741107.56730904861</v>
      </c>
      <c r="S336" s="114">
        <v>0.14005956912634737</v>
      </c>
      <c r="T336" s="114">
        <v>4058.9302873829624</v>
      </c>
      <c r="U336" s="114">
        <v>3.9231869778984785</v>
      </c>
      <c r="V336" s="114">
        <v>4456.6652074259246</v>
      </c>
      <c r="W336" s="114">
        <v>2.5201075081043012</v>
      </c>
      <c r="X336" s="114">
        <v>3288355.8575970205</v>
      </c>
      <c r="Y336" s="114">
        <v>0.13997288917030404</v>
      </c>
      <c r="Z336" s="114">
        <v>4254.608139077046</v>
      </c>
      <c r="AA336" s="114">
        <v>4.7241137935573532</v>
      </c>
      <c r="AB336" s="114">
        <v>706336.37103473116</v>
      </c>
      <c r="AC336" s="114">
        <v>0.14532876556172708</v>
      </c>
      <c r="AD336" s="114">
        <v>3219954.5473091658</v>
      </c>
      <c r="AE336" s="114">
        <v>0.14275290906394689</v>
      </c>
      <c r="AF336" s="382">
        <v>4.5298349846629442</v>
      </c>
      <c r="AG336" s="163">
        <v>2.2771385178220936E-2</v>
      </c>
      <c r="AH336" s="436">
        <v>4.5586954991172135</v>
      </c>
      <c r="AI336" s="434">
        <v>2.4515230291183007E-2</v>
      </c>
      <c r="AJ336" s="21">
        <v>0</v>
      </c>
      <c r="AL336" s="21">
        <v>0</v>
      </c>
    </row>
    <row r="337" spans="1:35" s="21" customFormat="1" x14ac:dyDescent="0.15">
      <c r="A337" s="113"/>
      <c r="B337" s="324">
        <v>13831.917245557248</v>
      </c>
      <c r="C337" s="114">
        <v>0.14816558665276086</v>
      </c>
      <c r="D337" s="114">
        <v>13863.796617186714</v>
      </c>
      <c r="E337" s="114">
        <v>0.1805070751563756</v>
      </c>
      <c r="F337" s="114">
        <v>11828.200948416965</v>
      </c>
      <c r="G337" s="114">
        <v>0.13883912319369612</v>
      </c>
      <c r="H337" s="114">
        <v>4956.8455095717072</v>
      </c>
      <c r="I337" s="114">
        <v>1.2687990009027568</v>
      </c>
      <c r="J337" s="114">
        <v>10952.954337034356</v>
      </c>
      <c r="K337" s="114">
        <v>0.54956700804798397</v>
      </c>
      <c r="L337" s="114">
        <v>6575.8596058755184</v>
      </c>
      <c r="M337" s="114">
        <v>29.00349338982025</v>
      </c>
      <c r="N337" s="163">
        <v>0.79004003300626646</v>
      </c>
      <c r="O337" s="163" t="e">
        <v>#VALUE!</v>
      </c>
      <c r="P337" s="324">
        <v>21769.927094922186</v>
      </c>
      <c r="Q337" s="114">
        <v>1.0615635907728875</v>
      </c>
      <c r="R337" s="114">
        <v>146945.86064183814</v>
      </c>
      <c r="S337" s="114">
        <v>2.1643068072276255</v>
      </c>
      <c r="T337" s="114">
        <v>17542.765833913571</v>
      </c>
      <c r="U337" s="114">
        <v>1.1635824779845874</v>
      </c>
      <c r="V337" s="114">
        <v>6781.9470858928753</v>
      </c>
      <c r="W337" s="114">
        <v>2.6208126295039178</v>
      </c>
      <c r="X337" s="114">
        <v>577946.63954160898</v>
      </c>
      <c r="Y337" s="114">
        <v>2.3857405838442127</v>
      </c>
      <c r="Z337" s="114">
        <v>133082.06402465148</v>
      </c>
      <c r="AA337" s="114">
        <v>2.3897730232237548</v>
      </c>
      <c r="AB337" s="114">
        <v>126300.11693875863</v>
      </c>
      <c r="AC337" s="114">
        <v>2.4233212016793604</v>
      </c>
      <c r="AD337" s="114">
        <v>566993.68520457495</v>
      </c>
      <c r="AE337" s="114">
        <v>2.4318273540441435</v>
      </c>
      <c r="AF337" s="382">
        <v>4.2710434848202521</v>
      </c>
      <c r="AG337" s="163">
        <v>7.6818777634862848E-2</v>
      </c>
      <c r="AH337" s="436">
        <v>4.4888238677789971</v>
      </c>
      <c r="AI337" s="434">
        <v>0.122420385441308</v>
      </c>
    </row>
    <row r="338" spans="1:35" s="21" customFormat="1" x14ac:dyDescent="0.15">
      <c r="A338" s="113"/>
      <c r="B338" s="324">
        <v>13831.917245557248</v>
      </c>
      <c r="C338" s="114">
        <v>0.14816558665276086</v>
      </c>
      <c r="D338" s="114">
        <v>13863.796617186714</v>
      </c>
      <c r="E338" s="114">
        <v>0.1805070751563756</v>
      </c>
      <c r="F338" s="114">
        <v>11828.200948416965</v>
      </c>
      <c r="G338" s="114">
        <v>0.13883912319369612</v>
      </c>
      <c r="H338" s="114">
        <v>4956.8455095717072</v>
      </c>
      <c r="I338" s="114">
        <v>1.2687990009027568</v>
      </c>
      <c r="J338" s="114">
        <v>10952.954337034356</v>
      </c>
      <c r="K338" s="114">
        <v>0.54956700804798397</v>
      </c>
      <c r="L338" s="114">
        <v>6575.8596058755184</v>
      </c>
      <c r="M338" s="114">
        <v>29.00349338982025</v>
      </c>
      <c r="N338" s="163">
        <v>0.79004003300626646</v>
      </c>
      <c r="O338" s="163" t="e">
        <v>#VALUE!</v>
      </c>
      <c r="P338" s="324">
        <v>21769.927094922186</v>
      </c>
      <c r="Q338" s="114">
        <v>1.0615635907728875</v>
      </c>
      <c r="R338" s="114">
        <v>146945.86064183814</v>
      </c>
      <c r="S338" s="114">
        <v>2.1643068072276255</v>
      </c>
      <c r="T338" s="114">
        <v>17542.765833913571</v>
      </c>
      <c r="U338" s="114">
        <v>1.1635824779845874</v>
      </c>
      <c r="V338" s="114">
        <v>6781.9470858928753</v>
      </c>
      <c r="W338" s="114">
        <v>2.6208126295039178</v>
      </c>
      <c r="X338" s="114">
        <v>577946.63954160898</v>
      </c>
      <c r="Y338" s="114">
        <v>2.3857405838442127</v>
      </c>
      <c r="Z338" s="114">
        <v>133082.06402465148</v>
      </c>
      <c r="AA338" s="114">
        <v>2.3897730232237548</v>
      </c>
      <c r="AB338" s="114">
        <v>126300.11693875863</v>
      </c>
      <c r="AC338" s="114">
        <v>2.4233212016793604</v>
      </c>
      <c r="AD338" s="114">
        <v>566993.68520457495</v>
      </c>
      <c r="AE338" s="114">
        <v>2.4318273540441435</v>
      </c>
      <c r="AF338" s="382">
        <v>4.2710434848202521</v>
      </c>
      <c r="AG338" s="163">
        <v>7.6818777634862848E-2</v>
      </c>
      <c r="AH338" s="436">
        <v>4.4888238677789971</v>
      </c>
      <c r="AI338" s="434">
        <v>0.122420385441308</v>
      </c>
    </row>
    <row r="339" spans="1:35" s="21" customFormat="1" x14ac:dyDescent="0.15">
      <c r="A339" s="113"/>
      <c r="B339" s="324">
        <v>13831.917245557248</v>
      </c>
      <c r="C339" s="114">
        <v>0.14816558665276086</v>
      </c>
      <c r="D339" s="114">
        <v>13863.796617186714</v>
      </c>
      <c r="E339" s="114">
        <v>0.1805070751563756</v>
      </c>
      <c r="F339" s="114">
        <v>11828.200948416965</v>
      </c>
      <c r="G339" s="114">
        <v>0.13883912319369612</v>
      </c>
      <c r="H339" s="114">
        <v>4956.8455095717072</v>
      </c>
      <c r="I339" s="114">
        <v>1.2687990009027568</v>
      </c>
      <c r="J339" s="114">
        <v>10952.954337034356</v>
      </c>
      <c r="K339" s="114">
        <v>0.54956700804798397</v>
      </c>
      <c r="L339" s="114">
        <v>6575.8596058755184</v>
      </c>
      <c r="M339" s="114">
        <v>29.00349338982025</v>
      </c>
      <c r="N339" s="163">
        <v>0.79004003300626646</v>
      </c>
      <c r="O339" s="163" t="e">
        <v>#VALUE!</v>
      </c>
      <c r="P339" s="324">
        <v>21769.927094922186</v>
      </c>
      <c r="Q339" s="114">
        <v>1.0615635907728875</v>
      </c>
      <c r="R339" s="114">
        <v>146945.86064183814</v>
      </c>
      <c r="S339" s="114">
        <v>2.1643068072276255</v>
      </c>
      <c r="T339" s="114">
        <v>17542.765833913571</v>
      </c>
      <c r="U339" s="114">
        <v>1.1635824779845874</v>
      </c>
      <c r="V339" s="114">
        <v>6781.9470858928753</v>
      </c>
      <c r="W339" s="114">
        <v>2.6208126295039178</v>
      </c>
      <c r="X339" s="114">
        <v>577946.63954160898</v>
      </c>
      <c r="Y339" s="114">
        <v>2.3857405838442127</v>
      </c>
      <c r="Z339" s="114">
        <v>133082.06402465148</v>
      </c>
      <c r="AA339" s="114">
        <v>2.3897730232237548</v>
      </c>
      <c r="AB339" s="114">
        <v>126300.11693875863</v>
      </c>
      <c r="AC339" s="114">
        <v>2.4233212016793604</v>
      </c>
      <c r="AD339" s="114">
        <v>566993.68520457495</v>
      </c>
      <c r="AE339" s="114">
        <v>2.4318273540441435</v>
      </c>
      <c r="AF339" s="382">
        <v>4.2710434848202521</v>
      </c>
      <c r="AG339" s="163">
        <v>7.6818777634862848E-2</v>
      </c>
      <c r="AH339" s="436">
        <v>4.4888238677789971</v>
      </c>
      <c r="AI339" s="434">
        <v>0.122420385441308</v>
      </c>
    </row>
    <row r="340" spans="1:35" s="21" customFormat="1" x14ac:dyDescent="0.15">
      <c r="A340" s="113"/>
      <c r="B340" s="324">
        <v>13831.917245557248</v>
      </c>
      <c r="C340" s="114">
        <v>0.14816558665276086</v>
      </c>
      <c r="D340" s="114">
        <v>13863.796617186714</v>
      </c>
      <c r="E340" s="114">
        <v>0.1805070751563756</v>
      </c>
      <c r="F340" s="114">
        <v>11828.200948416965</v>
      </c>
      <c r="G340" s="114">
        <v>0.13883912319369612</v>
      </c>
      <c r="H340" s="114">
        <v>4956.8455095717072</v>
      </c>
      <c r="I340" s="114">
        <v>1.2687990009027568</v>
      </c>
      <c r="J340" s="114">
        <v>10952.954337034356</v>
      </c>
      <c r="K340" s="114">
        <v>0.54956700804798397</v>
      </c>
      <c r="L340" s="114">
        <v>6575.8596058755184</v>
      </c>
      <c r="M340" s="114">
        <v>29.00349338982025</v>
      </c>
      <c r="N340" s="163">
        <v>0.79004003300626646</v>
      </c>
      <c r="O340" s="163" t="e">
        <v>#VALUE!</v>
      </c>
      <c r="P340" s="324">
        <v>21769.927094922186</v>
      </c>
      <c r="Q340" s="114">
        <v>1.0615635907728875</v>
      </c>
      <c r="R340" s="114">
        <v>146945.86064183814</v>
      </c>
      <c r="S340" s="114">
        <v>2.1643068072276255</v>
      </c>
      <c r="T340" s="114">
        <v>17542.765833913571</v>
      </c>
      <c r="U340" s="114">
        <v>1.1635824779845874</v>
      </c>
      <c r="V340" s="114">
        <v>6781.9470858928753</v>
      </c>
      <c r="W340" s="114">
        <v>2.6208126295039178</v>
      </c>
      <c r="X340" s="114">
        <v>577946.63954160898</v>
      </c>
      <c r="Y340" s="114">
        <v>2.3857405838442127</v>
      </c>
      <c r="Z340" s="114">
        <v>133082.06402465148</v>
      </c>
      <c r="AA340" s="114">
        <v>2.3897730232237548</v>
      </c>
      <c r="AB340" s="114">
        <v>126300.11693875863</v>
      </c>
      <c r="AC340" s="114">
        <v>2.4233212016793604</v>
      </c>
      <c r="AD340" s="114">
        <v>566993.68520457495</v>
      </c>
      <c r="AE340" s="114">
        <v>2.4318273540441435</v>
      </c>
      <c r="AF340" s="382">
        <v>4.2710434848202521</v>
      </c>
      <c r="AG340" s="163">
        <v>7.6818777634862848E-2</v>
      </c>
      <c r="AH340" s="436">
        <v>4.4888238677789971</v>
      </c>
      <c r="AI340" s="434">
        <v>0.122420385441308</v>
      </c>
    </row>
    <row r="341" spans="1:35" s="21" customFormat="1" x14ac:dyDescent="0.15">
      <c r="A341" s="113"/>
      <c r="B341" s="324">
        <v>13831.917245557248</v>
      </c>
      <c r="C341" s="114">
        <v>0.14816558665276086</v>
      </c>
      <c r="D341" s="114">
        <v>13863.796617186714</v>
      </c>
      <c r="E341" s="114">
        <v>0.1805070751563756</v>
      </c>
      <c r="F341" s="114">
        <v>11828.200948416965</v>
      </c>
      <c r="G341" s="114">
        <v>0.13883912319369612</v>
      </c>
      <c r="H341" s="114">
        <v>4956.8455095717072</v>
      </c>
      <c r="I341" s="114">
        <v>1.2687990009027568</v>
      </c>
      <c r="J341" s="114">
        <v>10952.954337034356</v>
      </c>
      <c r="K341" s="114">
        <v>0.54956700804798397</v>
      </c>
      <c r="L341" s="114">
        <v>6575.8596058755184</v>
      </c>
      <c r="M341" s="114">
        <v>29.00349338982025</v>
      </c>
      <c r="N341" s="163">
        <v>0.79004003300626646</v>
      </c>
      <c r="O341" s="163" t="e">
        <v>#VALUE!</v>
      </c>
      <c r="P341" s="324">
        <v>21769.927094922186</v>
      </c>
      <c r="Q341" s="114">
        <v>1.0615635907728875</v>
      </c>
      <c r="R341" s="114">
        <v>146945.86064183814</v>
      </c>
      <c r="S341" s="114">
        <v>2.1643068072276255</v>
      </c>
      <c r="T341" s="114">
        <v>17542.765833913571</v>
      </c>
      <c r="U341" s="114">
        <v>1.1635824779845874</v>
      </c>
      <c r="V341" s="114">
        <v>6781.9470858928753</v>
      </c>
      <c r="W341" s="114">
        <v>2.6208126295039178</v>
      </c>
      <c r="X341" s="114">
        <v>577946.63954160898</v>
      </c>
      <c r="Y341" s="114">
        <v>2.3857405838442127</v>
      </c>
      <c r="Z341" s="114">
        <v>133082.06402465148</v>
      </c>
      <c r="AA341" s="114">
        <v>2.3897730232237548</v>
      </c>
      <c r="AB341" s="114">
        <v>126300.11693875863</v>
      </c>
      <c r="AC341" s="114">
        <v>2.4233212016793604</v>
      </c>
      <c r="AD341" s="114">
        <v>566993.68520457495</v>
      </c>
      <c r="AE341" s="114">
        <v>2.4318273540441435</v>
      </c>
      <c r="AF341" s="382">
        <v>4.2710434848202521</v>
      </c>
      <c r="AG341" s="163">
        <v>7.6818777634862848E-2</v>
      </c>
      <c r="AH341" s="436">
        <v>4.4888238677789971</v>
      </c>
      <c r="AI341" s="434">
        <v>0.122420385441308</v>
      </c>
    </row>
  </sheetData>
  <sortState xmlns:xlrd2="http://schemas.microsoft.com/office/spreadsheetml/2017/richdata2" ref="A82:A336">
    <sortCondition ref="A82"/>
  </sortState>
  <pageMargins left="0.75" right="0.75" top="1" bottom="1" header="0.4921259845" footer="0.492125984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2"/>
  <dimension ref="A1:N232"/>
  <sheetViews>
    <sheetView topLeftCell="A5" zoomScale="85" zoomScaleNormal="85" workbookViewId="0">
      <selection activeCell="E24" sqref="E24"/>
    </sheetView>
  </sheetViews>
  <sheetFormatPr baseColWidth="10" defaultColWidth="9.1640625" defaultRowHeight="13" x14ac:dyDescent="0.15"/>
  <sheetData>
    <row r="1" spans="1:1" x14ac:dyDescent="0.15">
      <c r="A1" t="s">
        <v>870</v>
      </c>
    </row>
    <row r="2" spans="1:1" x14ac:dyDescent="0.15">
      <c r="A2" t="s">
        <v>943</v>
      </c>
    </row>
    <row r="3" spans="1:1" x14ac:dyDescent="0.15">
      <c r="A3" t="s">
        <v>928</v>
      </c>
    </row>
    <row r="4" spans="1:1" x14ac:dyDescent="0.15">
      <c r="A4" t="s">
        <v>454</v>
      </c>
    </row>
    <row r="5" spans="1:1" x14ac:dyDescent="0.15">
      <c r="A5" t="s">
        <v>590</v>
      </c>
    </row>
    <row r="6" spans="1:1" x14ac:dyDescent="0.15">
      <c r="A6" t="s">
        <v>455</v>
      </c>
    </row>
    <row r="7" spans="1:1" x14ac:dyDescent="0.15">
      <c r="A7" t="s">
        <v>944</v>
      </c>
    </row>
    <row r="8" spans="1:1" x14ac:dyDescent="0.15">
      <c r="A8" t="s">
        <v>456</v>
      </c>
    </row>
    <row r="9" spans="1:1" x14ac:dyDescent="0.15">
      <c r="A9" t="s">
        <v>457</v>
      </c>
    </row>
    <row r="10" spans="1:1" x14ac:dyDescent="0.15">
      <c r="A10" t="s">
        <v>929</v>
      </c>
    </row>
    <row r="11" spans="1:1" x14ac:dyDescent="0.15">
      <c r="A11" t="s">
        <v>945</v>
      </c>
    </row>
    <row r="12" spans="1:1" x14ac:dyDescent="0.15">
      <c r="A12" t="s">
        <v>458</v>
      </c>
    </row>
    <row r="13" spans="1:1" x14ac:dyDescent="0.15">
      <c r="A13" t="s">
        <v>459</v>
      </c>
    </row>
    <row r="14" spans="1:1" x14ac:dyDescent="0.15">
      <c r="A14" t="s">
        <v>460</v>
      </c>
    </row>
    <row r="15" spans="1:1" x14ac:dyDescent="0.15">
      <c r="A15" t="s">
        <v>461</v>
      </c>
    </row>
    <row r="16" spans="1:1" x14ac:dyDescent="0.15">
      <c r="A16" t="s">
        <v>462</v>
      </c>
    </row>
    <row r="17" spans="1:14" x14ac:dyDescent="0.15">
      <c r="A17" t="s">
        <v>463</v>
      </c>
    </row>
    <row r="18" spans="1:14" x14ac:dyDescent="0.15">
      <c r="A18" t="s">
        <v>464</v>
      </c>
    </row>
    <row r="19" spans="1:14" x14ac:dyDescent="0.15">
      <c r="A19" t="s">
        <v>465</v>
      </c>
    </row>
    <row r="20" spans="1:14" x14ac:dyDescent="0.15">
      <c r="A20" t="s">
        <v>466</v>
      </c>
    </row>
    <row r="21" spans="1:14" x14ac:dyDescent="0.15">
      <c r="A21" t="s">
        <v>467</v>
      </c>
    </row>
    <row r="23" spans="1:14" x14ac:dyDescent="0.15">
      <c r="A23" t="s">
        <v>468</v>
      </c>
      <c r="B23" t="s">
        <v>332</v>
      </c>
      <c r="C23">
        <v>9.9</v>
      </c>
      <c r="D23" t="s">
        <v>416</v>
      </c>
      <c r="E23">
        <v>10.199999999999999</v>
      </c>
      <c r="F23">
        <v>10.477</v>
      </c>
      <c r="G23">
        <v>10.523</v>
      </c>
      <c r="H23">
        <v>10.627000000000001</v>
      </c>
      <c r="I23">
        <v>10.9</v>
      </c>
      <c r="J23" t="s">
        <v>417</v>
      </c>
      <c r="K23" t="s">
        <v>481</v>
      </c>
      <c r="L23" t="s">
        <v>568</v>
      </c>
      <c r="M23" t="s">
        <v>562</v>
      </c>
      <c r="N23" t="s">
        <v>569</v>
      </c>
    </row>
    <row r="24" spans="1:14" x14ac:dyDescent="0.15">
      <c r="A24">
        <v>1</v>
      </c>
      <c r="B24" t="s">
        <v>946</v>
      </c>
      <c r="C24" s="579">
        <v>2.8034214133258501E-4</v>
      </c>
      <c r="D24" s="579">
        <v>4.2692117860814501E-4</v>
      </c>
      <c r="E24" s="579">
        <v>2.15062551596727E-4</v>
      </c>
      <c r="F24" s="579">
        <v>1.32182051297409E-4</v>
      </c>
      <c r="G24" s="579">
        <v>1.83166995339091E-4</v>
      </c>
      <c r="H24" s="579">
        <v>2.3812570069382699E-4</v>
      </c>
      <c r="I24" s="579">
        <v>2.0449731116681499E-4</v>
      </c>
      <c r="J24" s="579">
        <v>9.3347174058775297E-4</v>
      </c>
      <c r="K24">
        <v>-2528608.1277197101</v>
      </c>
      <c r="L24">
        <v>-2528608.1277197101</v>
      </c>
      <c r="M24">
        <v>-2528608.1277197101</v>
      </c>
      <c r="N24">
        <v>4.5647140065635803</v>
      </c>
    </row>
    <row r="25" spans="1:14" x14ac:dyDescent="0.15">
      <c r="A25">
        <v>2</v>
      </c>
      <c r="B25" t="s">
        <v>947</v>
      </c>
      <c r="C25" s="579">
        <v>2.6941037455282803E-4</v>
      </c>
      <c r="D25" s="579">
        <v>5.0924873924391002E-4</v>
      </c>
      <c r="E25" s="579">
        <v>2.53617470564464E-4</v>
      </c>
      <c r="F25" s="579">
        <v>2.2047804763200801E-4</v>
      </c>
      <c r="G25" s="579">
        <v>2.2063913436886799E-4</v>
      </c>
      <c r="H25" s="579">
        <v>2.4382086179577398E-5</v>
      </c>
      <c r="I25" s="579">
        <v>-1.12646394283395E-5</v>
      </c>
      <c r="J25" s="579">
        <v>1.0917977258995801E-3</v>
      </c>
      <c r="K25">
        <v>-2957484.9280357501</v>
      </c>
      <c r="L25">
        <v>-2957484.9280357501</v>
      </c>
      <c r="M25">
        <v>-2957484.9280357501</v>
      </c>
      <c r="N25">
        <v>-96.922563109551305</v>
      </c>
    </row>
    <row r="26" spans="1:14" x14ac:dyDescent="0.15">
      <c r="A26">
        <v>3</v>
      </c>
      <c r="B26" t="s">
        <v>948</v>
      </c>
      <c r="C26" s="579">
        <v>2.9936415808218101E-4</v>
      </c>
      <c r="D26" s="579">
        <v>5.2404730575751396E-4</v>
      </c>
      <c r="E26" s="579">
        <v>3.0210396308118898E-4</v>
      </c>
      <c r="F26" s="579">
        <v>1.5559096945228401E-4</v>
      </c>
      <c r="G26" s="579">
        <v>2.62636184854616E-4</v>
      </c>
      <c r="H26" s="579">
        <v>1.24557628322723E-4</v>
      </c>
      <c r="I26" s="579">
        <v>1.0489025662765001E-4</v>
      </c>
      <c r="J26" s="579">
        <v>1.03700596784063E-3</v>
      </c>
      <c r="K26">
        <v>-2809063.8471011901</v>
      </c>
      <c r="L26">
        <v>-2809063.8471011901</v>
      </c>
      <c r="M26">
        <v>-2809063.8471011901</v>
      </c>
      <c r="N26">
        <v>9.8865805193126395</v>
      </c>
    </row>
    <row r="27" spans="1:14" x14ac:dyDescent="0.15">
      <c r="A27">
        <v>4</v>
      </c>
      <c r="B27" t="s">
        <v>949</v>
      </c>
      <c r="C27" s="579">
        <v>3.0437797443765599E-4</v>
      </c>
      <c r="D27" s="579">
        <v>5.3361286541990201E-4</v>
      </c>
      <c r="E27" s="579">
        <v>2.9229693865646798E-4</v>
      </c>
      <c r="F27" s="579">
        <v>2.7460604108813099E-4</v>
      </c>
      <c r="G27" s="579">
        <v>1.5542922176680498E-5</v>
      </c>
      <c r="H27" s="579">
        <v>2.0804887322332301E-4</v>
      </c>
      <c r="I27" s="579">
        <v>3.1260804430723298E-4</v>
      </c>
      <c r="J27" s="579">
        <v>1.0787293228573E-3</v>
      </c>
      <c r="K27">
        <v>-2922084.9596037101</v>
      </c>
      <c r="L27">
        <v>-2922084.9596037101</v>
      </c>
      <c r="M27">
        <v>-2922084.9596037101</v>
      </c>
      <c r="N27">
        <v>3.45074076787711</v>
      </c>
    </row>
    <row r="28" spans="1:14" x14ac:dyDescent="0.15">
      <c r="A28">
        <v>5</v>
      </c>
      <c r="B28" t="s">
        <v>950</v>
      </c>
      <c r="C28" s="579">
        <v>3.2518267939116998E-4</v>
      </c>
      <c r="D28" s="579">
        <v>5.2050277410582702E-4</v>
      </c>
      <c r="E28" s="579">
        <v>2.76656999635072E-4</v>
      </c>
      <c r="F28" s="579">
        <v>1.8065088680831401E-4</v>
      </c>
      <c r="G28" s="579">
        <v>1.5527551096047E-4</v>
      </c>
      <c r="H28" s="579">
        <v>1.7544831444551301E-4</v>
      </c>
      <c r="I28" s="579">
        <v>2.4042810173916101E-4</v>
      </c>
      <c r="J28" s="579">
        <v>1.11667932309567E-3</v>
      </c>
      <c r="K28">
        <v>-3024884.7283351002</v>
      </c>
      <c r="L28">
        <v>-3024884.7283351002</v>
      </c>
      <c r="M28">
        <v>-3024884.7283351002</v>
      </c>
      <c r="N28">
        <v>4.6445457707233899</v>
      </c>
    </row>
    <row r="29" spans="1:14" x14ac:dyDescent="0.15">
      <c r="A29">
        <v>6</v>
      </c>
      <c r="B29" t="s">
        <v>951</v>
      </c>
      <c r="C29" s="579">
        <v>3.0930552474983799E-4</v>
      </c>
      <c r="D29" s="579">
        <v>5.0017284648984296E-4</v>
      </c>
      <c r="E29" s="579">
        <v>3.2233082835284602E-4</v>
      </c>
      <c r="F29" s="579">
        <v>-4.4819606817664801E-5</v>
      </c>
      <c r="G29" s="579">
        <v>1.6380150581939699E-4</v>
      </c>
      <c r="H29" s="579">
        <v>3.0341099386327802E-4</v>
      </c>
      <c r="I29" s="579">
        <v>1.46523501363783E-4</v>
      </c>
      <c r="J29" s="579">
        <v>1.0466491294138501E-3</v>
      </c>
      <c r="K29">
        <v>-2835185.4485067101</v>
      </c>
      <c r="L29">
        <v>-2835185.4485067101</v>
      </c>
      <c r="M29">
        <v>-2835185.4485067101</v>
      </c>
      <c r="N29">
        <v>7.14321675138833</v>
      </c>
    </row>
    <row r="30" spans="1:14" x14ac:dyDescent="0.15">
      <c r="A30">
        <v>7</v>
      </c>
      <c r="B30" t="s">
        <v>952</v>
      </c>
      <c r="C30" s="579">
        <v>3.07848274253216E-4</v>
      </c>
      <c r="D30" s="579">
        <v>4.6144096302211401E-4</v>
      </c>
      <c r="E30" s="579">
        <v>2.7538041508564699E-4</v>
      </c>
      <c r="F30" s="579">
        <v>-1.94700418253538E-5</v>
      </c>
      <c r="G30" s="579">
        <v>1.7219339754435199E-4</v>
      </c>
      <c r="H30" s="579">
        <v>1.06223245565072E-4</v>
      </c>
      <c r="I30" s="579">
        <v>2.23958339719398E-4</v>
      </c>
      <c r="J30" s="579">
        <v>1.12089859557408E-3</v>
      </c>
      <c r="K30">
        <v>-3036313.9834673898</v>
      </c>
      <c r="L30">
        <v>-3036313.9834673898</v>
      </c>
      <c r="M30">
        <v>-3036313.9834673898</v>
      </c>
      <c r="N30">
        <v>5.0049424235707196</v>
      </c>
    </row>
    <row r="31" spans="1:14" x14ac:dyDescent="0.15">
      <c r="A31">
        <v>8</v>
      </c>
      <c r="B31" t="s">
        <v>953</v>
      </c>
      <c r="C31" s="579">
        <v>2.8674656016760598E-4</v>
      </c>
      <c r="D31" s="579">
        <v>5.2991542555566801E-4</v>
      </c>
      <c r="E31" s="579">
        <v>3.0651756324215601E-4</v>
      </c>
      <c r="F31" s="579">
        <v>8.7765246907177901E-5</v>
      </c>
      <c r="G31" s="579">
        <v>3.1831700836071499E-4</v>
      </c>
      <c r="H31" s="579">
        <v>3.3839827057698198E-5</v>
      </c>
      <c r="I31" s="579">
        <v>2.16140495317522E-4</v>
      </c>
      <c r="J31" s="579">
        <v>1.11626948368049E-3</v>
      </c>
      <c r="K31">
        <v>-3023774.5466003702</v>
      </c>
      <c r="L31">
        <v>-3023774.5466003702</v>
      </c>
      <c r="M31">
        <v>-3023774.5466003702</v>
      </c>
      <c r="N31">
        <v>5.1645550364851003</v>
      </c>
    </row>
    <row r="32" spans="1:14" x14ac:dyDescent="0.15">
      <c r="A32">
        <v>9</v>
      </c>
      <c r="B32" t="s">
        <v>954</v>
      </c>
      <c r="C32" s="579">
        <v>3.1225687579318798E-4</v>
      </c>
      <c r="D32" s="579">
        <v>5.2329190957938203E-4</v>
      </c>
      <c r="E32" s="579">
        <v>3.0360248505786999E-4</v>
      </c>
      <c r="F32" s="579">
        <v>8.6241470247384397E-5</v>
      </c>
      <c r="G32" s="579">
        <v>1.31141437316095E-4</v>
      </c>
      <c r="H32" s="579">
        <v>1.03631272079721E-4</v>
      </c>
      <c r="I32" s="579">
        <v>8.6075860206007599E-5</v>
      </c>
      <c r="J32" s="579">
        <v>1.1045706319142499E-3</v>
      </c>
      <c r="K32">
        <v>-2992084.44782728</v>
      </c>
      <c r="L32">
        <v>-2992084.44782728</v>
      </c>
      <c r="M32">
        <v>-2992084.44782728</v>
      </c>
      <c r="N32">
        <v>12.832525045589399</v>
      </c>
    </row>
    <row r="33" spans="1:14" x14ac:dyDescent="0.15">
      <c r="A33">
        <v>10</v>
      </c>
      <c r="B33" t="s">
        <v>955</v>
      </c>
      <c r="C33" s="579">
        <v>3.4909244820392602E-4</v>
      </c>
      <c r="D33" s="579">
        <v>4.7746656577726598E-4</v>
      </c>
      <c r="E33" s="579">
        <v>2.9835296797495398E-4</v>
      </c>
      <c r="F33" s="579">
        <v>2.7020309789792002E-4</v>
      </c>
      <c r="G33" s="579">
        <v>1.6263058759300001E-4</v>
      </c>
      <c r="H33" s="579">
        <v>1.5437345825814201E-4</v>
      </c>
      <c r="I33" s="579">
        <v>1.2491841881184001E-4</v>
      </c>
      <c r="J33" s="579">
        <v>1.01941024810465E-3</v>
      </c>
      <c r="K33">
        <v>-2761400.1868071202</v>
      </c>
      <c r="L33">
        <v>-2761400.1868071202</v>
      </c>
      <c r="M33">
        <v>-2761400.1868071202</v>
      </c>
      <c r="N33">
        <v>8.1606080016122</v>
      </c>
    </row>
    <row r="34" spans="1:14" x14ac:dyDescent="0.15">
      <c r="A34">
        <v>11</v>
      </c>
      <c r="B34" t="s">
        <v>956</v>
      </c>
      <c r="C34" s="579">
        <v>3.0158651692135902E-4</v>
      </c>
      <c r="D34" s="579">
        <v>4.8348658337772399E-4</v>
      </c>
      <c r="E34" s="579">
        <v>3.0067889631463397E-4</v>
      </c>
      <c r="F34" s="579">
        <v>1.9414600688209301E-4</v>
      </c>
      <c r="G34" s="579">
        <v>5.8303683436907003E-5</v>
      </c>
      <c r="H34" s="579">
        <v>1.9876661136878599E-4</v>
      </c>
      <c r="I34" s="579">
        <v>3.34488431324534E-4</v>
      </c>
      <c r="J34" s="579">
        <v>1.06671120790438E-3</v>
      </c>
      <c r="K34">
        <v>-2889530.03391235</v>
      </c>
      <c r="L34">
        <v>-2889530.03391235</v>
      </c>
      <c r="M34">
        <v>-2889530.03391235</v>
      </c>
      <c r="N34">
        <v>3.1890825152915898</v>
      </c>
    </row>
    <row r="35" spans="1:14" x14ac:dyDescent="0.15">
      <c r="A35">
        <v>12</v>
      </c>
      <c r="B35" t="s">
        <v>957</v>
      </c>
      <c r="C35" s="579">
        <v>2.37107741291475E-4</v>
      </c>
      <c r="D35" s="579">
        <v>5.2675341064537396E-4</v>
      </c>
      <c r="E35" s="579">
        <v>3.0795666666680999E-4</v>
      </c>
      <c r="F35" s="579">
        <v>7.2925611062742802E-5</v>
      </c>
      <c r="G35" s="579">
        <v>7.0936149306847701E-5</v>
      </c>
      <c r="H35" s="579">
        <v>2.1029675507166999E-4</v>
      </c>
      <c r="I35" s="579">
        <v>6.7767210817004306E-5</v>
      </c>
      <c r="J35" s="579">
        <v>1.14834236040038E-3</v>
      </c>
      <c r="K35">
        <v>-3110654.2380007799</v>
      </c>
      <c r="L35">
        <v>-3110654.2380007799</v>
      </c>
      <c r="M35">
        <v>-3110654.2380007799</v>
      </c>
      <c r="N35">
        <v>16.945398025917299</v>
      </c>
    </row>
    <row r="36" spans="1:14" x14ac:dyDescent="0.15">
      <c r="A36">
        <v>13</v>
      </c>
      <c r="B36" t="s">
        <v>958</v>
      </c>
      <c r="C36" s="579">
        <v>3.0713467853918602E-4</v>
      </c>
      <c r="D36" s="579">
        <v>4.8997030788370795E-4</v>
      </c>
      <c r="E36" s="579">
        <v>2.58577841646722E-4</v>
      </c>
      <c r="F36" s="579">
        <v>-7.3680691701767398E-6</v>
      </c>
      <c r="G36" s="579">
        <v>1.9313561260648099E-4</v>
      </c>
      <c r="H36" s="579">
        <v>1.6473148316186801E-4</v>
      </c>
      <c r="I36" s="579">
        <v>1.2201618397997599E-4</v>
      </c>
      <c r="J36" s="579">
        <v>1.13867105230093E-3</v>
      </c>
      <c r="K36">
        <v>-3084456.3926856699</v>
      </c>
      <c r="L36">
        <v>-3084456.3926856699</v>
      </c>
      <c r="M36">
        <v>-3084456.3926856699</v>
      </c>
      <c r="N36">
        <v>9.3321313219219899</v>
      </c>
    </row>
    <row r="37" spans="1:14" x14ac:dyDescent="0.15">
      <c r="A37">
        <v>14</v>
      </c>
      <c r="B37" t="s">
        <v>959</v>
      </c>
      <c r="C37" s="579">
        <v>3.3675494156048901E-4</v>
      </c>
      <c r="D37" s="579">
        <v>5.1155972353676801E-4</v>
      </c>
      <c r="E37" s="579">
        <v>2.5185706547512399E-4</v>
      </c>
      <c r="F37" s="579">
        <v>1.5077593174676299E-4</v>
      </c>
      <c r="G37" s="579">
        <v>1.8340260656682399E-4</v>
      </c>
      <c r="H37" s="579">
        <v>2.7287696705919902E-4</v>
      </c>
      <c r="I37" s="579">
        <v>1.61738462543788E-4</v>
      </c>
      <c r="J37" s="579">
        <v>1.11071443918889E-3</v>
      </c>
      <c r="K37">
        <v>-3008726.9237955702</v>
      </c>
      <c r="L37">
        <v>-3008726.9237955702</v>
      </c>
      <c r="M37">
        <v>-3008726.9237955702</v>
      </c>
      <c r="N37">
        <v>6.8673488156114004</v>
      </c>
    </row>
    <row r="38" spans="1:14" x14ac:dyDescent="0.15">
      <c r="A38">
        <v>15</v>
      </c>
      <c r="B38" t="s">
        <v>960</v>
      </c>
      <c r="C38" s="579">
        <v>2.90947011196713E-4</v>
      </c>
      <c r="D38" s="579">
        <v>5.2087261566922895E-4</v>
      </c>
      <c r="E38" s="579">
        <v>3.3250570740204398E-4</v>
      </c>
      <c r="F38" s="579">
        <v>1.8218151153869799E-4</v>
      </c>
      <c r="G38" s="579">
        <v>4.3986416895951099E-5</v>
      </c>
      <c r="H38" s="579">
        <v>1.83343505189443E-4</v>
      </c>
      <c r="I38" s="579">
        <v>5.0657209744954999E-5</v>
      </c>
      <c r="J38" s="579">
        <v>1.07578570789309E-3</v>
      </c>
      <c r="K38">
        <v>-2914111.2327089901</v>
      </c>
      <c r="L38">
        <v>-2914111.2327089901</v>
      </c>
      <c r="M38">
        <v>-2914111.2327089901</v>
      </c>
      <c r="N38">
        <v>21.236576457909401</v>
      </c>
    </row>
    <row r="39" spans="1:14" x14ac:dyDescent="0.15">
      <c r="A39">
        <v>16</v>
      </c>
      <c r="B39" t="s">
        <v>961</v>
      </c>
      <c r="C39" s="579">
        <v>3.18668968341505E-4</v>
      </c>
      <c r="D39" s="579">
        <v>5.57558380713285E-4</v>
      </c>
      <c r="E39" s="579">
        <v>2.7966103544202302E-4</v>
      </c>
      <c r="F39" s="579">
        <v>5.5440839450819801E-5</v>
      </c>
      <c r="G39" s="579">
        <v>1.80628896283825E-4</v>
      </c>
      <c r="H39" s="579">
        <v>1.46760259693968E-4</v>
      </c>
      <c r="I39" s="579">
        <v>8.6506029500256094E-5</v>
      </c>
      <c r="J39" s="579">
        <v>1.17824666621854E-3</v>
      </c>
      <c r="K39">
        <v>-3191659.6583662601</v>
      </c>
      <c r="L39">
        <v>-3191659.6583662601</v>
      </c>
      <c r="M39">
        <v>-3191659.6583662601</v>
      </c>
      <c r="N39">
        <v>13.620399329679699</v>
      </c>
    </row>
    <row r="40" spans="1:14" x14ac:dyDescent="0.15">
      <c r="A40">
        <v>17</v>
      </c>
      <c r="B40" t="s">
        <v>962</v>
      </c>
      <c r="C40" s="579">
        <v>3.3862528252478103E-4</v>
      </c>
      <c r="D40" s="579">
        <v>5.6208397325728597E-4</v>
      </c>
      <c r="E40" s="579">
        <v>2.8221342375785602E-4</v>
      </c>
      <c r="F40" s="579">
        <v>1.78407561240413E-4</v>
      </c>
      <c r="G40" s="579">
        <v>2.67412912684325E-4</v>
      </c>
      <c r="H40" s="579">
        <v>2.17578777007071E-4</v>
      </c>
      <c r="I40" s="579">
        <v>2.12211518119965E-4</v>
      </c>
      <c r="J40" s="579">
        <v>1.15369722419019E-3</v>
      </c>
      <c r="K40">
        <v>-3125159.6070580399</v>
      </c>
      <c r="L40">
        <v>-3125159.6070580399</v>
      </c>
      <c r="M40">
        <v>-3125159.6070580399</v>
      </c>
      <c r="N40">
        <v>5.4365438521484899</v>
      </c>
    </row>
    <row r="41" spans="1:14" x14ac:dyDescent="0.15">
      <c r="A41">
        <v>18</v>
      </c>
      <c r="B41" t="s">
        <v>963</v>
      </c>
      <c r="C41" s="579">
        <v>3.24658856637417E-4</v>
      </c>
      <c r="D41" s="579">
        <v>5.0807831580662003E-4</v>
      </c>
      <c r="E41" s="579">
        <v>2.8306230478873201E-4</v>
      </c>
      <c r="F41" s="579">
        <v>2.30960320542441E-4</v>
      </c>
      <c r="G41" s="579">
        <v>1.1844008322724299E-4</v>
      </c>
      <c r="H41" s="579">
        <v>1.64311801321969E-4</v>
      </c>
      <c r="I41" s="579">
        <v>1.8940542417963E-4</v>
      </c>
      <c r="J41" s="579">
        <v>1.1018582245654E-3</v>
      </c>
      <c r="K41">
        <v>-2984737.0210442599</v>
      </c>
      <c r="L41">
        <v>-2984737.0210442599</v>
      </c>
      <c r="M41">
        <v>-2984737.0210442599</v>
      </c>
      <c r="N41">
        <v>5.8174586569411604</v>
      </c>
    </row>
    <row r="42" spans="1:14" x14ac:dyDescent="0.15">
      <c r="A42">
        <v>19</v>
      </c>
      <c r="B42" t="s">
        <v>964</v>
      </c>
      <c r="C42" s="579">
        <v>2.87603323907513E-4</v>
      </c>
      <c r="D42" s="579">
        <v>5.3955976326255505E-4</v>
      </c>
      <c r="E42" s="579">
        <v>2.89574753775956E-4</v>
      </c>
      <c r="F42" s="579">
        <v>2.0848530077587399E-4</v>
      </c>
      <c r="G42" s="579">
        <v>2.2819432499430399E-4</v>
      </c>
      <c r="H42" s="579">
        <v>1.4696060347958601E-4</v>
      </c>
      <c r="I42" s="579">
        <v>2.53554069791118E-4</v>
      </c>
      <c r="J42" s="579">
        <v>1.10537891410122E-3</v>
      </c>
      <c r="K42">
        <v>-2994273.9398264601</v>
      </c>
      <c r="L42">
        <v>-2994273.9398264601</v>
      </c>
      <c r="M42">
        <v>-2994273.9398264601</v>
      </c>
      <c r="N42">
        <v>4.3595392296871998</v>
      </c>
    </row>
    <row r="43" spans="1:14" x14ac:dyDescent="0.15">
      <c r="A43">
        <v>20</v>
      </c>
      <c r="B43" t="s">
        <v>965</v>
      </c>
      <c r="C43" s="579">
        <v>2.9894104029594301E-4</v>
      </c>
      <c r="D43" s="579">
        <v>5.5769314606319805E-4</v>
      </c>
      <c r="E43" s="579">
        <v>2.9769804797367402E-4</v>
      </c>
      <c r="F43" s="579">
        <v>2.1096379413833801E-4</v>
      </c>
      <c r="G43" s="579">
        <v>1.3622058076840699E-4</v>
      </c>
      <c r="H43" s="579">
        <v>1.13339906912762E-4</v>
      </c>
      <c r="I43" s="579">
        <v>2.00355071156947E-4</v>
      </c>
      <c r="J43" s="579">
        <v>1.1021702739441299E-3</v>
      </c>
      <c r="K43">
        <v>-2985582.3070459599</v>
      </c>
      <c r="L43">
        <v>-2985582.3070459599</v>
      </c>
      <c r="M43">
        <v>-2985582.3070459599</v>
      </c>
      <c r="N43">
        <v>5.50108498666724</v>
      </c>
    </row>
    <row r="44" spans="1:14" x14ac:dyDescent="0.15">
      <c r="A44">
        <v>21</v>
      </c>
      <c r="B44" t="s">
        <v>966</v>
      </c>
      <c r="C44" s="579">
        <v>3.0511345586060602E-4</v>
      </c>
      <c r="D44" s="579">
        <v>4.8851410760107096E-4</v>
      </c>
      <c r="E44" s="579">
        <v>2.79182530270038E-4</v>
      </c>
      <c r="F44" s="579">
        <v>-1.8864226482862901E-5</v>
      </c>
      <c r="G44" s="579">
        <v>3.40444755303632E-4</v>
      </c>
      <c r="H44" s="579">
        <v>2.4205374840178301E-4</v>
      </c>
      <c r="I44" s="579">
        <v>1.9452070841981199E-4</v>
      </c>
      <c r="J44" s="579">
        <v>1.09628995009883E-3</v>
      </c>
      <c r="K44">
        <v>-2969653.5606015702</v>
      </c>
      <c r="L44">
        <v>-2969653.5606015702</v>
      </c>
      <c r="M44">
        <v>-2969653.5606015702</v>
      </c>
      <c r="N44">
        <v>5.63585213628176</v>
      </c>
    </row>
    <row r="45" spans="1:14" x14ac:dyDescent="0.15">
      <c r="A45">
        <v>22</v>
      </c>
      <c r="B45" t="s">
        <v>967</v>
      </c>
      <c r="C45" s="579">
        <v>2.95727949173136E-4</v>
      </c>
      <c r="D45" s="579">
        <v>4.6974703561599698E-4</v>
      </c>
      <c r="E45" s="579">
        <v>2.8915256583605698E-4</v>
      </c>
      <c r="F45" s="579">
        <v>-1.01592297299275E-7</v>
      </c>
      <c r="G45" s="579">
        <v>2.24390892603766E-5</v>
      </c>
      <c r="H45" s="579">
        <v>7.7574101016192006E-5</v>
      </c>
      <c r="I45" s="579">
        <v>7.7711061114697005E-5</v>
      </c>
      <c r="J45" s="579">
        <v>1.1286428362071699E-3</v>
      </c>
      <c r="K45">
        <v>-3057291.7473957599</v>
      </c>
      <c r="L45">
        <v>-3057291.7473957599</v>
      </c>
      <c r="M45">
        <v>-3057291.7473957599</v>
      </c>
      <c r="N45">
        <v>14.5235802988375</v>
      </c>
    </row>
    <row r="46" spans="1:14" x14ac:dyDescent="0.15">
      <c r="A46">
        <v>23</v>
      </c>
      <c r="B46" t="s">
        <v>968</v>
      </c>
      <c r="C46" s="579">
        <v>2.8362954584331199E-4</v>
      </c>
      <c r="D46" s="579">
        <v>4.7228771702863601E-4</v>
      </c>
      <c r="E46" s="579">
        <v>2.62327085309737E-4</v>
      </c>
      <c r="F46" s="579">
        <v>1.4738354241109101E-4</v>
      </c>
      <c r="G46" s="579">
        <v>1.6808978481409699E-4</v>
      </c>
      <c r="H46" s="579">
        <v>1.7499473853453901E-4</v>
      </c>
      <c r="I46" s="579">
        <v>2.3961808598136399E-4</v>
      </c>
      <c r="J46" s="579">
        <v>1.0662325839594E-3</v>
      </c>
      <c r="K46">
        <v>-2888233.5271786302</v>
      </c>
      <c r="L46">
        <v>-2888233.5271786302</v>
      </c>
      <c r="M46">
        <v>-2888233.5271786302</v>
      </c>
      <c r="N46">
        <v>4.4497166380100603</v>
      </c>
    </row>
    <row r="47" spans="1:14" x14ac:dyDescent="0.15">
      <c r="A47">
        <v>24</v>
      </c>
      <c r="B47" t="s">
        <v>969</v>
      </c>
      <c r="C47" s="579">
        <v>2.6936981748250702E-4</v>
      </c>
      <c r="D47" s="579">
        <v>5.3821951122531798E-4</v>
      </c>
      <c r="E47" s="579">
        <v>2.8097244563055502E-4</v>
      </c>
      <c r="F47" s="579">
        <v>1.1699372849570299E-4</v>
      </c>
      <c r="G47" s="579">
        <v>3.13949882039902E-4</v>
      </c>
      <c r="H47" s="579">
        <v>2.28629979491554E-4</v>
      </c>
      <c r="I47" s="579">
        <v>1.4936407935676999E-4</v>
      </c>
      <c r="J47" s="579">
        <v>1.1243275613575701E-3</v>
      </c>
      <c r="K47">
        <v>-3045602.4389961599</v>
      </c>
      <c r="L47">
        <v>-3045602.4389961599</v>
      </c>
      <c r="M47">
        <v>-3045602.4389961599</v>
      </c>
      <c r="N47">
        <v>7.5274293939977897</v>
      </c>
    </row>
    <row r="48" spans="1:14" x14ac:dyDescent="0.15">
      <c r="A48">
        <v>25</v>
      </c>
      <c r="B48" t="s">
        <v>970</v>
      </c>
      <c r="C48" s="579">
        <v>3.0362797869972098E-4</v>
      </c>
      <c r="D48" s="579">
        <v>5.30458203346005E-4</v>
      </c>
      <c r="E48" s="579">
        <v>2.9794591037238298E-4</v>
      </c>
      <c r="F48" s="579">
        <v>9.9551990565795103E-5</v>
      </c>
      <c r="G48" s="579">
        <v>2.9421886538955402E-4</v>
      </c>
      <c r="H48" s="579">
        <v>8.2760207975578301E-5</v>
      </c>
      <c r="I48" s="579">
        <v>1.3384876876178499E-4</v>
      </c>
      <c r="J48" s="579">
        <v>1.12711841103148E-3</v>
      </c>
      <c r="K48">
        <v>-3053162.3520196001</v>
      </c>
      <c r="L48">
        <v>-3053162.3520196001</v>
      </c>
      <c r="M48">
        <v>-3053162.3520196001</v>
      </c>
      <c r="N48">
        <v>8.4208351071009808</v>
      </c>
    </row>
    <row r="49" spans="1:14" x14ac:dyDescent="0.15">
      <c r="A49">
        <v>26</v>
      </c>
      <c r="B49" t="s">
        <v>971</v>
      </c>
      <c r="C49" s="579">
        <v>3.1067225687971998E-4</v>
      </c>
      <c r="D49" s="579">
        <v>5.1629522467494299E-4</v>
      </c>
      <c r="E49" s="579">
        <v>3.2381895598375599E-4</v>
      </c>
      <c r="F49" s="579">
        <v>1.75081840948663E-4</v>
      </c>
      <c r="G49" s="579">
        <v>3.4833541041609701E-4</v>
      </c>
      <c r="H49" s="579">
        <v>1.6244488238525E-4</v>
      </c>
      <c r="I49" s="579">
        <v>1.5848939876581E-4</v>
      </c>
      <c r="J49" s="579">
        <v>1.0975182798661899E-3</v>
      </c>
      <c r="K49">
        <v>-2972980.8864307399</v>
      </c>
      <c r="L49">
        <v>-2972980.8864307399</v>
      </c>
      <c r="M49">
        <v>-2972980.8864307399</v>
      </c>
      <c r="N49">
        <v>6.9248687193767902</v>
      </c>
    </row>
    <row r="50" spans="1:14" x14ac:dyDescent="0.15">
      <c r="A50">
        <v>27</v>
      </c>
      <c r="B50" t="s">
        <v>972</v>
      </c>
      <c r="C50" s="579">
        <v>2.9929297291546298E-4</v>
      </c>
      <c r="D50" s="579">
        <v>5.3940742661006303E-4</v>
      </c>
      <c r="E50" s="579">
        <v>3.0859138381842202E-4</v>
      </c>
      <c r="F50" s="579">
        <v>1.40613394515007E-4</v>
      </c>
      <c r="G50" s="579">
        <v>2.9141000238596602E-4</v>
      </c>
      <c r="H50" s="579">
        <v>4.3405449085647001E-4</v>
      </c>
      <c r="I50" s="579">
        <v>3.3304897176699002E-4</v>
      </c>
      <c r="J50" s="579">
        <v>1.20921867697094E-3</v>
      </c>
      <c r="K50">
        <v>-3275557.3005927098</v>
      </c>
      <c r="L50">
        <v>-3275557.3005927098</v>
      </c>
      <c r="M50">
        <v>-3275557.3005927098</v>
      </c>
      <c r="N50">
        <v>3.6307533710596198</v>
      </c>
    </row>
    <row r="51" spans="1:14" x14ac:dyDescent="0.15">
      <c r="A51">
        <v>28</v>
      </c>
      <c r="B51" t="s">
        <v>973</v>
      </c>
      <c r="C51" s="579">
        <v>3.3754573864456302E-4</v>
      </c>
      <c r="D51" s="579">
        <v>5.2710477857478995E-4</v>
      </c>
      <c r="E51" s="579">
        <v>2.9452877079936602E-4</v>
      </c>
      <c r="F51" s="579">
        <v>9.8396863627353995E-5</v>
      </c>
      <c r="G51" s="579">
        <v>2.14087926788739E-4</v>
      </c>
      <c r="H51" s="579">
        <v>1.9114688281551701E-4</v>
      </c>
      <c r="I51" s="579">
        <v>1.48426663109177E-4</v>
      </c>
      <c r="J51" s="579">
        <v>1.12097555390585E-3</v>
      </c>
      <c r="K51">
        <v>-3036522.4498352101</v>
      </c>
      <c r="L51">
        <v>-3036522.4498352101</v>
      </c>
      <c r="M51">
        <v>-3036522.4498352101</v>
      </c>
      <c r="N51">
        <v>7.5523866832559001</v>
      </c>
    </row>
    <row r="52" spans="1:14" x14ac:dyDescent="0.15">
      <c r="A52">
        <v>29</v>
      </c>
      <c r="B52" t="s">
        <v>974</v>
      </c>
      <c r="C52" s="579">
        <v>3.0923710402521202E-4</v>
      </c>
      <c r="D52" s="579">
        <v>5.3802797003405997E-4</v>
      </c>
      <c r="E52" s="579">
        <v>2.7284079232332798E-4</v>
      </c>
      <c r="F52" s="579">
        <v>5.36393047116639E-5</v>
      </c>
      <c r="G52" s="579">
        <v>2.70707495441669E-4</v>
      </c>
      <c r="H52" s="579">
        <v>9.2948584498130402E-5</v>
      </c>
      <c r="I52" s="579">
        <v>1.8478955460472801E-4</v>
      </c>
      <c r="J52" s="579">
        <v>1.0959999917168699E-3</v>
      </c>
      <c r="K52">
        <v>-2968868.1151623102</v>
      </c>
      <c r="L52">
        <v>-2968868.1151623102</v>
      </c>
      <c r="M52">
        <v>-2968868.1151623102</v>
      </c>
      <c r="N52">
        <v>5.9310711260777902</v>
      </c>
    </row>
    <row r="53" spans="1:14" x14ac:dyDescent="0.15">
      <c r="A53">
        <v>30</v>
      </c>
      <c r="B53" t="s">
        <v>975</v>
      </c>
      <c r="C53" s="579">
        <v>2.9864328159161197E-4</v>
      </c>
      <c r="D53" s="579">
        <v>4.9388766392812497E-4</v>
      </c>
      <c r="E53" s="579">
        <v>2.7891824434804198E-4</v>
      </c>
      <c r="F53" s="579">
        <v>-4.0537132731524002E-5</v>
      </c>
      <c r="G53" s="579">
        <v>1.9126145249606999E-4</v>
      </c>
      <c r="H53" s="579">
        <v>1.2358025941698901E-4</v>
      </c>
      <c r="I53" s="579">
        <v>-1.9344782490841999E-5</v>
      </c>
      <c r="J53" s="579">
        <v>1.0871436862735001E-3</v>
      </c>
      <c r="K53">
        <v>-2944877.96639618</v>
      </c>
      <c r="L53">
        <v>-2944877.96639618</v>
      </c>
      <c r="M53">
        <v>-2944877.96639618</v>
      </c>
      <c r="N53">
        <v>-56.1982894761503</v>
      </c>
    </row>
    <row r="54" spans="1:14" x14ac:dyDescent="0.15">
      <c r="A54">
        <v>31</v>
      </c>
      <c r="B54" t="s">
        <v>976</v>
      </c>
      <c r="C54" s="579">
        <v>2.9941272768443402E-4</v>
      </c>
      <c r="D54" s="579">
        <v>5.1933256297923903E-4</v>
      </c>
      <c r="E54" s="579">
        <v>2.7478882713932398E-4</v>
      </c>
      <c r="F54" s="579">
        <v>1.3410289175449101E-4</v>
      </c>
      <c r="G54" s="579">
        <v>2.4139584093636E-5</v>
      </c>
      <c r="H54" s="579">
        <v>1.15972129084886E-4</v>
      </c>
      <c r="I54" s="579">
        <v>1.3001455714309901E-4</v>
      </c>
      <c r="J54" s="579">
        <v>1.10818060157145E-3</v>
      </c>
      <c r="K54">
        <v>-3001863.2105033398</v>
      </c>
      <c r="L54">
        <v>-3001863.2105033398</v>
      </c>
      <c r="M54">
        <v>-3001863.2105033398</v>
      </c>
      <c r="N54">
        <v>8.5235117199356694</v>
      </c>
    </row>
    <row r="55" spans="1:14" x14ac:dyDescent="0.15">
      <c r="A55">
        <v>32</v>
      </c>
      <c r="B55" t="s">
        <v>977</v>
      </c>
      <c r="C55" s="579">
        <v>3.7496080975918698E-4</v>
      </c>
      <c r="D55" s="579">
        <v>5.6498805093725105E-4</v>
      </c>
      <c r="E55" s="579">
        <v>3.2466619742662099E-4</v>
      </c>
      <c r="F55" s="579">
        <v>1.50880000686866E-4</v>
      </c>
      <c r="G55" s="579">
        <v>1.83442981986827E-4</v>
      </c>
      <c r="H55" s="579">
        <v>2.6516335249830302E-4</v>
      </c>
      <c r="I55" s="579">
        <v>1.39011675022847E-4</v>
      </c>
      <c r="J55" s="579">
        <v>1.15839986030905E-3</v>
      </c>
      <c r="K55">
        <v>-3137898.2079120502</v>
      </c>
      <c r="L55">
        <v>-3137898.2079120502</v>
      </c>
      <c r="M55">
        <v>-3137898.2079120502</v>
      </c>
      <c r="N55">
        <v>8.3331120218403196</v>
      </c>
    </row>
    <row r="56" spans="1:14" x14ac:dyDescent="0.15">
      <c r="A56">
        <v>33</v>
      </c>
      <c r="B56" t="s">
        <v>978</v>
      </c>
      <c r="C56" s="579">
        <v>3.9254506280254903E-4</v>
      </c>
      <c r="D56" s="579">
        <v>5.3934751119983498E-4</v>
      </c>
      <c r="E56" s="579">
        <v>3.4097333764753699E-4</v>
      </c>
      <c r="F56" s="579">
        <v>1.3508736408207299E-4</v>
      </c>
      <c r="G56" s="579">
        <v>6.5234615044972599E-5</v>
      </c>
      <c r="H56" s="579">
        <v>3.74697844983854E-4</v>
      </c>
      <c r="I56" s="579">
        <v>1.3055827679884599E-4</v>
      </c>
      <c r="J56" s="579">
        <v>1.1497308153925901E-3</v>
      </c>
      <c r="K56">
        <v>-3114415.31444863</v>
      </c>
      <c r="L56">
        <v>-3114415.31444863</v>
      </c>
      <c r="M56">
        <v>-3114415.31444863</v>
      </c>
      <c r="N56">
        <v>8.8062652447841803</v>
      </c>
    </row>
    <row r="57" spans="1:14" x14ac:dyDescent="0.15">
      <c r="A57">
        <v>34</v>
      </c>
      <c r="B57" t="s">
        <v>979</v>
      </c>
      <c r="C57" s="579">
        <v>2.97218376961924E-4</v>
      </c>
      <c r="D57" s="579">
        <v>5.1425229057938703E-4</v>
      </c>
      <c r="E57" s="579">
        <v>3.2219507909548201E-4</v>
      </c>
      <c r="F57" s="579">
        <v>1.3544507888583199E-4</v>
      </c>
      <c r="G57" s="579">
        <v>2.40702551549997E-4</v>
      </c>
      <c r="H57" s="579">
        <v>1.58631726128971E-4</v>
      </c>
      <c r="I57" s="579">
        <v>3.0358870363635099E-4</v>
      </c>
      <c r="J57" s="579">
        <v>1.0857021585184E-3</v>
      </c>
      <c r="K57">
        <v>-2940973.12531809</v>
      </c>
      <c r="L57">
        <v>-2940973.12531809</v>
      </c>
      <c r="M57">
        <v>-2940973.12531809</v>
      </c>
      <c r="N57">
        <v>3.5762271307001399</v>
      </c>
    </row>
    <row r="58" spans="1:14" x14ac:dyDescent="0.15">
      <c r="A58">
        <v>35</v>
      </c>
      <c r="B58" t="s">
        <v>980</v>
      </c>
      <c r="C58" s="579">
        <v>2.61006904568731E-4</v>
      </c>
      <c r="D58" s="579">
        <v>5.4699513793735803E-4</v>
      </c>
      <c r="E58" s="579">
        <v>3.0208044032942498E-4</v>
      </c>
      <c r="F58" s="579">
        <v>2.06519614145471E-4</v>
      </c>
      <c r="G58" s="579">
        <v>2.5901638515374097E-4</v>
      </c>
      <c r="H58" s="579">
        <v>1.09894036067308E-4</v>
      </c>
      <c r="I58" s="579">
        <v>6.7359679957553793E-5</v>
      </c>
      <c r="J58" s="579">
        <v>1.0347281410992501E-3</v>
      </c>
      <c r="K58">
        <v>-2802893.62152139</v>
      </c>
      <c r="L58">
        <v>-2802893.62152139</v>
      </c>
      <c r="M58">
        <v>-2802893.62152139</v>
      </c>
      <c r="N58">
        <v>15.3612389748775</v>
      </c>
    </row>
    <row r="59" spans="1:14" x14ac:dyDescent="0.15">
      <c r="A59">
        <v>36</v>
      </c>
      <c r="B59" t="s">
        <v>981</v>
      </c>
      <c r="C59" s="579">
        <v>2.8169892583359402E-4</v>
      </c>
      <c r="D59" s="579">
        <v>5.0761400960004101E-4</v>
      </c>
      <c r="E59" s="579">
        <v>3.08729057933471E-4</v>
      </c>
      <c r="F59" s="579">
        <v>2.31585785724357E-4</v>
      </c>
      <c r="G59" s="579">
        <v>1.1108984608567301E-4</v>
      </c>
      <c r="H59" s="579">
        <v>2.13365349140149E-4</v>
      </c>
      <c r="I59" s="579">
        <v>1.34633672837579E-4</v>
      </c>
      <c r="J59" s="579">
        <v>1.1168420754289401E-3</v>
      </c>
      <c r="K59">
        <v>-3025325.5953210001</v>
      </c>
      <c r="L59">
        <v>-3025325.5953210001</v>
      </c>
      <c r="M59">
        <v>-3025325.5953210001</v>
      </c>
      <c r="N59">
        <v>8.2954141552409908</v>
      </c>
    </row>
    <row r="60" spans="1:14" x14ac:dyDescent="0.15">
      <c r="A60">
        <v>37</v>
      </c>
      <c r="B60" t="s">
        <v>982</v>
      </c>
      <c r="C60" s="579">
        <v>3.3611024716007402E-4</v>
      </c>
      <c r="D60" s="579">
        <v>5.1640304303910995E-4</v>
      </c>
      <c r="E60" s="579">
        <v>2.3974681836325701E-4</v>
      </c>
      <c r="F60" s="579">
        <v>1.9359498483691301E-4</v>
      </c>
      <c r="G60" s="579">
        <v>1.02881609698411E-4</v>
      </c>
      <c r="H60" s="579">
        <v>2.6171221209961401E-4</v>
      </c>
      <c r="I60" s="579">
        <v>9.1607811380405496E-5</v>
      </c>
      <c r="J60" s="579">
        <v>1.14433775421158E-3</v>
      </c>
      <c r="K60">
        <v>-3099806.4754847498</v>
      </c>
      <c r="L60">
        <v>-3099806.4754847498</v>
      </c>
      <c r="M60">
        <v>-3099806.4754847498</v>
      </c>
      <c r="N60">
        <v>12.4917049863757</v>
      </c>
    </row>
    <row r="61" spans="1:14" x14ac:dyDescent="0.15">
      <c r="A61">
        <v>38</v>
      </c>
      <c r="B61" t="s">
        <v>983</v>
      </c>
      <c r="C61" s="579">
        <v>3.3790457003533901E-4</v>
      </c>
      <c r="D61" s="579">
        <v>5.2300381658770703E-4</v>
      </c>
      <c r="E61" s="579">
        <v>2.8367280542699903E-4</v>
      </c>
      <c r="F61" s="579">
        <v>1.6055835548975099E-4</v>
      </c>
      <c r="G61" s="579">
        <v>1.0957079790603401E-4</v>
      </c>
      <c r="H61" s="579">
        <v>7.3869292867774201E-5</v>
      </c>
      <c r="I61" s="579">
        <v>2.06977274555836E-4</v>
      </c>
      <c r="J61" s="579">
        <v>1.15907073295474E-3</v>
      </c>
      <c r="K61">
        <v>-3139715.4820198701</v>
      </c>
      <c r="L61">
        <v>-3139715.4820198701</v>
      </c>
      <c r="M61">
        <v>-3139715.4820198701</v>
      </c>
      <c r="N61">
        <v>5.5999903150819499</v>
      </c>
    </row>
    <row r="62" spans="1:14" x14ac:dyDescent="0.15">
      <c r="A62">
        <v>39</v>
      </c>
      <c r="B62" t="s">
        <v>984</v>
      </c>
      <c r="C62" s="579">
        <v>3.16732078098796E-4</v>
      </c>
      <c r="D62" s="579">
        <v>5.3379065737441003E-4</v>
      </c>
      <c r="E62" s="579">
        <v>3.3033484853304699E-4</v>
      </c>
      <c r="F62" s="579">
        <v>1.3578750609958599E-4</v>
      </c>
      <c r="G62" s="579">
        <v>2.7799488405733E-4</v>
      </c>
      <c r="H62" s="579">
        <v>5.3993892517034403E-5</v>
      </c>
      <c r="I62" s="579">
        <v>3.64729582970502E-4</v>
      </c>
      <c r="J62" s="579">
        <v>1.12635220003109E-3</v>
      </c>
      <c r="K62">
        <v>-3051086.82334649</v>
      </c>
      <c r="L62">
        <v>-3051086.82334649</v>
      </c>
      <c r="M62">
        <v>-3051086.82334649</v>
      </c>
      <c r="N62">
        <v>3.0881843771970301</v>
      </c>
    </row>
    <row r="63" spans="1:14" x14ac:dyDescent="0.15">
      <c r="A63">
        <v>40</v>
      </c>
      <c r="B63" t="s">
        <v>985</v>
      </c>
      <c r="C63" s="579">
        <v>2.7658440592079201E-4</v>
      </c>
      <c r="D63" s="579">
        <v>5.4631304113490601E-4</v>
      </c>
      <c r="E63" s="579">
        <v>2.7252465343730801E-4</v>
      </c>
      <c r="F63" s="579">
        <v>1.4658757460674001E-4</v>
      </c>
      <c r="G63" s="579">
        <v>2.3229810412570399E-4</v>
      </c>
      <c r="H63" s="579">
        <v>1.14005166124369E-4</v>
      </c>
      <c r="I63" s="579">
        <v>2.4788974262694399E-4</v>
      </c>
      <c r="J63" s="579">
        <v>1.09935256572391E-3</v>
      </c>
      <c r="K63">
        <v>-2977949.6390203801</v>
      </c>
      <c r="L63">
        <v>-2977949.6390203801</v>
      </c>
      <c r="M63">
        <v>-2977949.6390203801</v>
      </c>
      <c r="N63">
        <v>4.4348449196559203</v>
      </c>
    </row>
    <row r="64" spans="1:14" x14ac:dyDescent="0.15">
      <c r="A64">
        <v>41</v>
      </c>
      <c r="B64" t="s">
        <v>986</v>
      </c>
      <c r="C64" s="579">
        <v>2.7856415671283598E-4</v>
      </c>
      <c r="D64" s="579">
        <v>5.2646926681047996E-4</v>
      </c>
      <c r="E64" s="579">
        <v>2.8749570596368603E-4</v>
      </c>
      <c r="F64" s="579">
        <v>1.7053163773744101E-4</v>
      </c>
      <c r="G64" s="579">
        <v>2.23613163081277E-4</v>
      </c>
      <c r="H64" s="579">
        <v>1.07359558878908E-4</v>
      </c>
      <c r="I64" s="579">
        <v>6.4718422224370497E-5</v>
      </c>
      <c r="J64" s="579">
        <v>1.1612066570725701E-3</v>
      </c>
      <c r="K64">
        <v>-3145501.3187514101</v>
      </c>
      <c r="L64">
        <v>-3145501.3187514101</v>
      </c>
      <c r="M64">
        <v>-3145501.3187514101</v>
      </c>
      <c r="N64">
        <v>17.942443853881599</v>
      </c>
    </row>
    <row r="65" spans="1:14" x14ac:dyDescent="0.15">
      <c r="A65">
        <v>42</v>
      </c>
      <c r="B65" t="s">
        <v>987</v>
      </c>
      <c r="C65" s="579">
        <v>3.3365720961854399E-4</v>
      </c>
      <c r="D65" s="579">
        <v>5.2848970611700996E-4</v>
      </c>
      <c r="E65" s="579">
        <v>2.8602237433649998E-4</v>
      </c>
      <c r="F65" s="579">
        <v>1.21757687258911E-4</v>
      </c>
      <c r="G65" s="579">
        <v>1.0666983809855E-4</v>
      </c>
      <c r="H65" s="579">
        <v>1.5679726996681E-4</v>
      </c>
      <c r="I65" s="579">
        <v>2.28606522816278E-4</v>
      </c>
      <c r="J65" s="579">
        <v>1.1330933962480699E-3</v>
      </c>
      <c r="K65">
        <v>-3069347.5192022501</v>
      </c>
      <c r="L65">
        <v>-3069347.5192022501</v>
      </c>
      <c r="M65">
        <v>-3069347.5192022501</v>
      </c>
      <c r="N65">
        <v>4.9565225973831701</v>
      </c>
    </row>
    <row r="66" spans="1:14" x14ac:dyDescent="0.15">
      <c r="A66">
        <v>43</v>
      </c>
      <c r="B66" t="s">
        <v>988</v>
      </c>
      <c r="C66" s="579">
        <v>3.0987906279504102E-4</v>
      </c>
      <c r="D66" s="579">
        <v>5.4507939147186595E-4</v>
      </c>
      <c r="E66" s="579">
        <v>2.8909389572510501E-4</v>
      </c>
      <c r="F66" s="579">
        <v>1.68935358500771E-4</v>
      </c>
      <c r="G66" s="579">
        <v>2.49537309481873E-4</v>
      </c>
      <c r="H66" s="579">
        <v>3.6880981454432901E-4</v>
      </c>
      <c r="I66" s="579">
        <v>9.4847955403414296E-5</v>
      </c>
      <c r="J66" s="579">
        <v>1.0857964294847401E-3</v>
      </c>
      <c r="K66">
        <v>-2941228.48851906</v>
      </c>
      <c r="L66">
        <v>-2941228.48851906</v>
      </c>
      <c r="M66">
        <v>-2941228.48851906</v>
      </c>
      <c r="N66">
        <v>11.4477578864674</v>
      </c>
    </row>
    <row r="67" spans="1:14" x14ac:dyDescent="0.15">
      <c r="A67">
        <v>44</v>
      </c>
      <c r="B67" t="s">
        <v>989</v>
      </c>
      <c r="C67" s="579">
        <v>2.8213667353702303E-4</v>
      </c>
      <c r="D67" s="579">
        <v>4.92377853337753E-4</v>
      </c>
      <c r="E67" s="579">
        <v>2.7599802792872499E-4</v>
      </c>
      <c r="F67" s="579">
        <v>1.3817025948275799E-4</v>
      </c>
      <c r="G67" s="579">
        <v>3.1595132926002102E-4</v>
      </c>
      <c r="H67" s="579">
        <v>1.28201472184928E-4</v>
      </c>
      <c r="I67" s="579">
        <v>1.6612085042242301E-5</v>
      </c>
      <c r="J67" s="579">
        <v>1.1351707365730801E-3</v>
      </c>
      <c r="K67">
        <v>-3074974.6629083301</v>
      </c>
      <c r="L67">
        <v>-3074974.6629083301</v>
      </c>
      <c r="M67">
        <v>-3074974.6629083301</v>
      </c>
      <c r="N67">
        <v>68.334031139769294</v>
      </c>
    </row>
    <row r="68" spans="1:14" x14ac:dyDescent="0.15">
      <c r="A68">
        <v>45</v>
      </c>
      <c r="B68" t="s">
        <v>990</v>
      </c>
      <c r="C68" s="579">
        <v>3.2886343005405599E-4</v>
      </c>
      <c r="D68" s="579">
        <v>4.9607604933922999E-4</v>
      </c>
      <c r="E68" s="579">
        <v>2.9664867274643202E-4</v>
      </c>
      <c r="F68" s="579">
        <v>1.4781078123067399E-4</v>
      </c>
      <c r="G68" s="579">
        <v>1.14998045150905E-4</v>
      </c>
      <c r="H68" s="579">
        <v>3.14414781862065E-4</v>
      </c>
      <c r="I68" s="579">
        <v>6.2531397796762505E-5</v>
      </c>
      <c r="J68" s="579">
        <v>1.1774247111639401E-3</v>
      </c>
      <c r="K68">
        <v>-3189433.1290121102</v>
      </c>
      <c r="L68">
        <v>-3189433.1290121102</v>
      </c>
      <c r="M68">
        <v>-3189433.1290121102</v>
      </c>
      <c r="N68">
        <v>18.829336183892298</v>
      </c>
    </row>
    <row r="69" spans="1:14" x14ac:dyDescent="0.15">
      <c r="A69">
        <v>46</v>
      </c>
      <c r="B69" t="s">
        <v>991</v>
      </c>
      <c r="C69" s="579">
        <v>3.50323491600139E-4</v>
      </c>
      <c r="D69" s="579">
        <v>5.3360618699848001E-4</v>
      </c>
      <c r="E69" s="579">
        <v>3.1480609401963598E-4</v>
      </c>
      <c r="F69" s="579">
        <v>2.3853931074336299E-4</v>
      </c>
      <c r="G69" s="579">
        <v>1.69960422002939E-4</v>
      </c>
      <c r="H69" s="579">
        <v>3.14733705345023E-5</v>
      </c>
      <c r="I69" s="579">
        <v>1.3232542460207201E-4</v>
      </c>
      <c r="J69" s="579">
        <v>1.0558975583900899E-3</v>
      </c>
      <c r="K69">
        <v>-2860237.78984833</v>
      </c>
      <c r="L69">
        <v>-2860237.78984833</v>
      </c>
      <c r="M69">
        <v>-2860237.78984833</v>
      </c>
      <c r="N69">
        <v>7.9795516361679901</v>
      </c>
    </row>
    <row r="70" spans="1:14" x14ac:dyDescent="0.15">
      <c r="A70">
        <v>47</v>
      </c>
      <c r="B70" t="s">
        <v>992</v>
      </c>
      <c r="C70" s="579">
        <v>3.4971713118900198E-4</v>
      </c>
      <c r="D70" s="579">
        <v>5.2093921563457703E-4</v>
      </c>
      <c r="E70" s="579">
        <v>2.9054167174041802E-4</v>
      </c>
      <c r="F70" s="579">
        <v>1.6838173301820901E-4</v>
      </c>
      <c r="G70" s="579">
        <v>2.4322360629077601E-4</v>
      </c>
      <c r="H70" s="579">
        <v>2.4699186114021101E-4</v>
      </c>
      <c r="I70" s="579">
        <v>2.0300911928400599E-4</v>
      </c>
      <c r="J70" s="579">
        <v>1.0718035564933901E-3</v>
      </c>
      <c r="K70">
        <v>-2903324.29620382</v>
      </c>
      <c r="L70">
        <v>-2903324.29620382</v>
      </c>
      <c r="M70">
        <v>-2903324.29620382</v>
      </c>
      <c r="N70">
        <v>5.2795833028267003</v>
      </c>
    </row>
    <row r="71" spans="1:14" x14ac:dyDescent="0.15">
      <c r="A71">
        <v>48</v>
      </c>
      <c r="B71" t="s">
        <v>993</v>
      </c>
      <c r="C71" s="579">
        <v>3.15904662010702E-4</v>
      </c>
      <c r="D71" s="579">
        <v>5.2880959616769896E-4</v>
      </c>
      <c r="E71" s="579">
        <v>2.94966278133103E-4</v>
      </c>
      <c r="F71" s="579">
        <v>2.65305239427174E-5</v>
      </c>
      <c r="G71" s="579">
        <v>1.7427492049985901E-4</v>
      </c>
      <c r="H71" s="579">
        <v>1.76128835320414E-6</v>
      </c>
      <c r="I71" s="579">
        <v>3.4449293341965901E-4</v>
      </c>
      <c r="J71" s="579">
        <v>1.10143673665942E-3</v>
      </c>
      <c r="K71">
        <v>-2983595.2856296198</v>
      </c>
      <c r="L71">
        <v>-2983595.2856296198</v>
      </c>
      <c r="M71">
        <v>-2983595.2856296198</v>
      </c>
      <c r="N71">
        <v>3.1972694642117898</v>
      </c>
    </row>
    <row r="72" spans="1:14" x14ac:dyDescent="0.15">
      <c r="A72">
        <v>49</v>
      </c>
      <c r="B72" t="s">
        <v>994</v>
      </c>
      <c r="C72" s="579">
        <v>2.8983304845978098E-4</v>
      </c>
      <c r="D72" s="579">
        <v>5.1867317254411602E-4</v>
      </c>
      <c r="E72" s="579">
        <v>2.8604731048554699E-4</v>
      </c>
      <c r="F72" s="579">
        <v>2.4807779067727802E-4</v>
      </c>
      <c r="G72" s="579">
        <v>2.1775798231854699E-4</v>
      </c>
      <c r="H72" s="579">
        <v>1.81182339204313E-4</v>
      </c>
      <c r="I72" s="579">
        <v>1.9901153997381799E-4</v>
      </c>
      <c r="J72" s="579">
        <v>1.1417056532096201E-3</v>
      </c>
      <c r="K72">
        <v>-3092676.5842441702</v>
      </c>
      <c r="L72">
        <v>-3092676.5842441702</v>
      </c>
      <c r="M72">
        <v>-3092676.5842441702</v>
      </c>
      <c r="N72">
        <v>5.7368816570125603</v>
      </c>
    </row>
    <row r="73" spans="1:14" x14ac:dyDescent="0.15">
      <c r="A73">
        <v>50</v>
      </c>
      <c r="B73" t="s">
        <v>995</v>
      </c>
      <c r="C73" s="579">
        <v>2.9967064308661698E-4</v>
      </c>
      <c r="D73" s="579">
        <v>5.4657578691365402E-4</v>
      </c>
      <c r="E73" s="579">
        <v>2.8624741136589599E-4</v>
      </c>
      <c r="F73" s="579">
        <v>2.3843009920581699E-4</v>
      </c>
      <c r="G73" s="579">
        <v>1.19452651767572E-4</v>
      </c>
      <c r="H73" s="579">
        <v>2.3687472215571E-4</v>
      </c>
      <c r="I73" s="579">
        <v>3.6439356119630299E-4</v>
      </c>
      <c r="J73" s="579">
        <v>1.1062271831273501E-3</v>
      </c>
      <c r="K73">
        <v>-2996571.74902699</v>
      </c>
      <c r="L73">
        <v>-2996571.74902699</v>
      </c>
      <c r="M73">
        <v>-2996571.74902699</v>
      </c>
      <c r="N73">
        <v>3.0358033207162398</v>
      </c>
    </row>
    <row r="74" spans="1:14" x14ac:dyDescent="0.15">
      <c r="A74">
        <v>51</v>
      </c>
      <c r="B74" t="s">
        <v>996</v>
      </c>
      <c r="C74" s="579">
        <v>3.3522668151806501E-4</v>
      </c>
      <c r="D74" s="579">
        <v>4.85023002748547E-4</v>
      </c>
      <c r="E74" s="579">
        <v>2.8246488016967901E-4</v>
      </c>
      <c r="F74" s="579">
        <v>1.74530673670981E-4</v>
      </c>
      <c r="G74" s="579">
        <v>1.7499401018009801E-5</v>
      </c>
      <c r="H74" s="579">
        <v>2.3108315189657999E-4</v>
      </c>
      <c r="I74" s="579">
        <v>2.0749443286613699E-4</v>
      </c>
      <c r="J74" s="579">
        <v>1.17146858532586E-3</v>
      </c>
      <c r="K74">
        <v>-3173299.0485155801</v>
      </c>
      <c r="L74">
        <v>-3173299.0485155801</v>
      </c>
      <c r="M74">
        <v>-3173299.0485155801</v>
      </c>
      <c r="N74">
        <v>5.6457832103939998</v>
      </c>
    </row>
    <row r="75" spans="1:14" x14ac:dyDescent="0.15">
      <c r="A75">
        <v>52</v>
      </c>
      <c r="B75" t="s">
        <v>997</v>
      </c>
      <c r="C75" s="579">
        <v>3.15701425426742E-4</v>
      </c>
      <c r="D75" s="579">
        <v>5.0651647450650596E-4</v>
      </c>
      <c r="E75" s="579">
        <v>2.8151396351749197E-4</v>
      </c>
      <c r="F75" s="579">
        <v>8.8396624471787295E-5</v>
      </c>
      <c r="G75" s="579">
        <v>1.33609163522158E-4</v>
      </c>
      <c r="H75" s="579">
        <v>2.9660977811302701E-4</v>
      </c>
      <c r="I75" s="579">
        <v>3.5180121362675599E-4</v>
      </c>
      <c r="J75" s="579">
        <v>1.1393065367320699E-3</v>
      </c>
      <c r="K75">
        <v>-3086177.80644438</v>
      </c>
      <c r="L75">
        <v>-3086177.80644438</v>
      </c>
      <c r="M75">
        <v>-3086177.80644438</v>
      </c>
      <c r="N75">
        <v>3.2384951859228699</v>
      </c>
    </row>
    <row r="76" spans="1:14" x14ac:dyDescent="0.15">
      <c r="A76">
        <v>53</v>
      </c>
      <c r="B76" t="s">
        <v>998</v>
      </c>
      <c r="C76" s="579">
        <v>2.6117278500842399E-4</v>
      </c>
      <c r="D76" s="579">
        <v>5.7724191253475797E-4</v>
      </c>
      <c r="E76" s="579">
        <v>3.3108809149681902E-4</v>
      </c>
      <c r="F76" s="579">
        <v>1.2317828092249199E-4</v>
      </c>
      <c r="G76" s="579">
        <v>2.7800481461095301E-4</v>
      </c>
      <c r="H76" s="579">
        <v>2.5770877977559201E-5</v>
      </c>
      <c r="I76" s="579">
        <v>9.4949674466159994E-5</v>
      </c>
      <c r="J76" s="579">
        <v>1.0484310584474999E-3</v>
      </c>
      <c r="K76">
        <v>-2840012.3758164402</v>
      </c>
      <c r="L76">
        <v>-2840012.3758164402</v>
      </c>
      <c r="M76">
        <v>-2840012.3758164402</v>
      </c>
      <c r="N76">
        <v>11.041965802854399</v>
      </c>
    </row>
    <row r="77" spans="1:14" x14ac:dyDescent="0.15">
      <c r="A77">
        <v>54</v>
      </c>
      <c r="B77" t="s">
        <v>999</v>
      </c>
      <c r="C77" s="579">
        <v>3.3010720798243602E-4</v>
      </c>
      <c r="D77" s="579">
        <v>5.2796104652007997E-4</v>
      </c>
      <c r="E77" s="579">
        <v>3.1220803347732602E-4</v>
      </c>
      <c r="F77" s="579">
        <v>2.13288354094466E-4</v>
      </c>
      <c r="G77" s="579">
        <v>8.7351085364178194E-6</v>
      </c>
      <c r="H77" s="579">
        <v>5.7863152135460999E-5</v>
      </c>
      <c r="I77" s="579">
        <v>7.54566758643958E-6</v>
      </c>
      <c r="J77" s="579">
        <v>1.1458501442972199E-3</v>
      </c>
      <c r="K77">
        <v>-3103903.26995272</v>
      </c>
      <c r="L77">
        <v>-3103903.26995272</v>
      </c>
      <c r="M77">
        <v>-3103903.26995272</v>
      </c>
      <c r="N77">
        <v>151.85537014066799</v>
      </c>
    </row>
    <row r="78" spans="1:14" x14ac:dyDescent="0.15">
      <c r="A78">
        <v>55</v>
      </c>
      <c r="B78" t="s">
        <v>1000</v>
      </c>
      <c r="C78" s="579">
        <v>3.45404763502408E-4</v>
      </c>
      <c r="D78" s="579">
        <v>4.7350182567366402E-4</v>
      </c>
      <c r="E78" s="579">
        <v>2.7445168435935097E-4</v>
      </c>
      <c r="F78" s="579">
        <v>1.0740139215265599E-4</v>
      </c>
      <c r="G78" s="579">
        <v>1.64600626570009E-4</v>
      </c>
      <c r="H78" s="579">
        <v>1.27547208319983E-4</v>
      </c>
      <c r="I78" s="579">
        <v>1.9109758501056599E-4</v>
      </c>
      <c r="J78" s="579">
        <v>1.1387983984423101E-3</v>
      </c>
      <c r="K78">
        <v>-3084801.35062506</v>
      </c>
      <c r="L78">
        <v>-3084801.35062506</v>
      </c>
      <c r="M78">
        <v>-3084801.35062506</v>
      </c>
      <c r="N78">
        <v>5.9592506016198401</v>
      </c>
    </row>
    <row r="79" spans="1:14" x14ac:dyDescent="0.15">
      <c r="A79">
        <v>56</v>
      </c>
      <c r="B79" t="s">
        <v>1001</v>
      </c>
      <c r="C79" s="579">
        <v>2.8080078013375701E-4</v>
      </c>
      <c r="D79" s="579">
        <v>4.8317355727686202E-4</v>
      </c>
      <c r="E79" s="579">
        <v>2.7608962135336099E-4</v>
      </c>
      <c r="F79" s="579">
        <v>1.6900605201623699E-4</v>
      </c>
      <c r="G79" s="579">
        <v>2.7578762100474399E-4</v>
      </c>
      <c r="H79" s="579">
        <v>1.70134215414597E-4</v>
      </c>
      <c r="I79" s="579">
        <v>1.6096672238963801E-4</v>
      </c>
      <c r="J79" s="579">
        <v>1.08180879038824E-3</v>
      </c>
      <c r="K79">
        <v>-2930426.6868239301</v>
      </c>
      <c r="L79">
        <v>-2930426.6868239301</v>
      </c>
      <c r="M79">
        <v>-2930426.6868239301</v>
      </c>
      <c r="N79">
        <v>6.7206983799396696</v>
      </c>
    </row>
    <row r="80" spans="1:14" x14ac:dyDescent="0.15">
      <c r="A80">
        <v>57</v>
      </c>
      <c r="B80" t="s">
        <v>1002</v>
      </c>
      <c r="C80" s="579">
        <v>3.1310087612814401E-4</v>
      </c>
      <c r="D80" s="579">
        <v>5.5880707931000998E-4</v>
      </c>
      <c r="E80" s="579">
        <v>2.8039178469799599E-4</v>
      </c>
      <c r="F80" s="579">
        <v>2.5308284169531302E-4</v>
      </c>
      <c r="G80" s="579">
        <v>2.5941904757903201E-4</v>
      </c>
      <c r="H80" s="579">
        <v>1.81942830740649E-4</v>
      </c>
      <c r="I80" s="579">
        <v>3.7222832473835898E-4</v>
      </c>
      <c r="J80" s="579">
        <v>1.16223334798669E-3</v>
      </c>
      <c r="K80">
        <v>-3148282.4409613502</v>
      </c>
      <c r="L80">
        <v>-3148282.4409613502</v>
      </c>
      <c r="M80">
        <v>-3148282.4409613502</v>
      </c>
      <c r="N80">
        <v>3.1223667591756499</v>
      </c>
    </row>
    <row r="81" spans="1:14" x14ac:dyDescent="0.15">
      <c r="A81">
        <v>58</v>
      </c>
      <c r="B81" t="s">
        <v>1003</v>
      </c>
      <c r="C81" s="579">
        <v>3.31566301647795E-4</v>
      </c>
      <c r="D81" s="579">
        <v>5.2979401840413498E-4</v>
      </c>
      <c r="E81" s="579">
        <v>3.0812641969475501E-4</v>
      </c>
      <c r="F81" s="579">
        <v>1.5316814357797001E-4</v>
      </c>
      <c r="G81" s="579">
        <v>3.7663912396710802E-4</v>
      </c>
      <c r="H81" s="579">
        <v>1.3834684817058801E-4</v>
      </c>
      <c r="I81" s="579">
        <v>3.18796200253239E-4</v>
      </c>
      <c r="J81" s="579">
        <v>1.1353987875146901E-3</v>
      </c>
      <c r="K81">
        <v>-3075592.41215496</v>
      </c>
      <c r="L81">
        <v>-3075592.41215496</v>
      </c>
      <c r="M81">
        <v>-3075592.41215496</v>
      </c>
      <c r="N81">
        <v>3.5615191981986598</v>
      </c>
    </row>
    <row r="82" spans="1:14" x14ac:dyDescent="0.15">
      <c r="A82">
        <v>59</v>
      </c>
      <c r="B82" t="s">
        <v>1004</v>
      </c>
      <c r="C82" s="579">
        <v>3.75942219543523E-4</v>
      </c>
      <c r="D82" s="579">
        <v>5.4863415581175498E-4</v>
      </c>
      <c r="E82" s="579">
        <v>2.7740702651753298E-4</v>
      </c>
      <c r="F82" s="579">
        <v>2.9851148038886102E-4</v>
      </c>
      <c r="G82" s="579">
        <v>1.8528626002066299E-4</v>
      </c>
      <c r="H82" s="579">
        <v>1.6497462165009099E-4</v>
      </c>
      <c r="I82" s="579">
        <v>1.98080861090354E-4</v>
      </c>
      <c r="J82" s="579">
        <v>1.11004997685243E-3</v>
      </c>
      <c r="K82">
        <v>-3006927.0140698799</v>
      </c>
      <c r="L82">
        <v>-3006927.0140698799</v>
      </c>
      <c r="M82">
        <v>-3006927.0140698799</v>
      </c>
      <c r="N82">
        <v>5.6040243905547502</v>
      </c>
    </row>
    <row r="83" spans="1:14" x14ac:dyDescent="0.15">
      <c r="A83">
        <v>60</v>
      </c>
      <c r="B83" t="s">
        <v>1005</v>
      </c>
      <c r="C83" s="579">
        <v>3.0471378743973898E-4</v>
      </c>
      <c r="D83" s="579">
        <v>5.3034960004138805E-4</v>
      </c>
      <c r="E83" s="579">
        <v>2.6655899371106202E-4</v>
      </c>
      <c r="F83" s="579">
        <v>1.4282037464023599E-5</v>
      </c>
      <c r="G83" s="579">
        <v>2.28472200507615E-4</v>
      </c>
      <c r="H83" s="579">
        <v>1.4615976431764399E-4</v>
      </c>
      <c r="I83" s="579">
        <v>2.2024747635456199E-4</v>
      </c>
      <c r="J83" s="579">
        <v>1.1359926850981099E-3</v>
      </c>
      <c r="K83">
        <v>-3077201.1745750299</v>
      </c>
      <c r="L83">
        <v>-3077201.1745750299</v>
      </c>
      <c r="M83">
        <v>-3077201.1745750299</v>
      </c>
      <c r="N83">
        <v>5.1578011421540699</v>
      </c>
    </row>
    <row r="84" spans="1:14" x14ac:dyDescent="0.15">
      <c r="A84">
        <v>61</v>
      </c>
      <c r="B84" t="s">
        <v>1006</v>
      </c>
      <c r="C84" s="579">
        <v>3.12999250883402E-4</v>
      </c>
      <c r="D84" s="579">
        <v>4.9602086894714895E-4</v>
      </c>
      <c r="E84" s="579">
        <v>2.63337648741174E-4</v>
      </c>
      <c r="F84" s="579">
        <v>4.5791222052606902E-5</v>
      </c>
      <c r="G84" s="579">
        <v>1.67352301912295E-4</v>
      </c>
      <c r="H84" s="579">
        <v>1.6820009600537999E-4</v>
      </c>
      <c r="I84" s="579">
        <v>1.46949948892966E-4</v>
      </c>
      <c r="J84" s="579">
        <v>1.09692456103601E-3</v>
      </c>
      <c r="K84">
        <v>-2971372.6082212199</v>
      </c>
      <c r="L84">
        <v>-2971372.6082212199</v>
      </c>
      <c r="M84">
        <v>-2971372.6082212199</v>
      </c>
      <c r="N84">
        <v>7.4646134231388999</v>
      </c>
    </row>
    <row r="85" spans="1:14" x14ac:dyDescent="0.15">
      <c r="A85">
        <v>62</v>
      </c>
      <c r="B85" t="s">
        <v>1007</v>
      </c>
      <c r="C85" s="579">
        <v>3.0001716188735701E-4</v>
      </c>
      <c r="D85" s="579">
        <v>5.4214880632432805E-4</v>
      </c>
      <c r="E85" s="579">
        <v>2.9703463434704701E-4</v>
      </c>
      <c r="F85" s="579">
        <v>8.7487590975716495E-5</v>
      </c>
      <c r="G85" s="579">
        <v>1.7065287914536E-4</v>
      </c>
      <c r="H85" s="579">
        <v>2.4298746951676101E-4</v>
      </c>
      <c r="I85" s="579">
        <v>1.02959228476895E-4</v>
      </c>
      <c r="J85" s="579">
        <v>1.1219790997178201E-3</v>
      </c>
      <c r="K85">
        <v>-3039240.87609958</v>
      </c>
      <c r="L85">
        <v>-3039240.87609958</v>
      </c>
      <c r="M85">
        <v>-3039240.87609958</v>
      </c>
      <c r="N85">
        <v>10.8973145614586</v>
      </c>
    </row>
    <row r="86" spans="1:14" x14ac:dyDescent="0.15">
      <c r="A86">
        <v>63</v>
      </c>
      <c r="B86" t="s">
        <v>1008</v>
      </c>
      <c r="C86" s="579">
        <v>2.62778197763495E-4</v>
      </c>
      <c r="D86" s="579">
        <v>5.19062685857319E-4</v>
      </c>
      <c r="E86" s="579">
        <v>3.1781732904231501E-4</v>
      </c>
      <c r="F86" s="579">
        <v>1.8861055981439799E-4</v>
      </c>
      <c r="G86" s="579">
        <v>1.63330697004787E-4</v>
      </c>
      <c r="H86" s="579">
        <v>2.7252026815080202E-4</v>
      </c>
      <c r="I86" s="579">
        <v>1.18015167524872E-4</v>
      </c>
      <c r="J86" s="579">
        <v>1.1552962968687001E-3</v>
      </c>
      <c r="K86">
        <v>-3129491.2091793302</v>
      </c>
      <c r="L86">
        <v>-3129491.2091793302</v>
      </c>
      <c r="M86">
        <v>-3129491.2091793302</v>
      </c>
      <c r="N86">
        <v>9.7893882718526299</v>
      </c>
    </row>
    <row r="87" spans="1:14" x14ac:dyDescent="0.15">
      <c r="A87">
        <v>64</v>
      </c>
      <c r="B87" t="s">
        <v>1009</v>
      </c>
      <c r="C87" s="579">
        <v>2.992979550501E-4</v>
      </c>
      <c r="D87" s="579">
        <v>4.9590535897030405E-4</v>
      </c>
      <c r="E87" s="579">
        <v>2.7314782117019099E-4</v>
      </c>
      <c r="F87" s="579">
        <v>9.6001713864378395E-5</v>
      </c>
      <c r="G87" s="579">
        <v>4.01278512553021E-4</v>
      </c>
      <c r="H87" s="579">
        <v>1.3003885696763901E-4</v>
      </c>
      <c r="I87" s="579">
        <v>2.30098625689557E-4</v>
      </c>
      <c r="J87" s="579">
        <v>1.1486629837244499E-3</v>
      </c>
      <c r="K87">
        <v>-3111522.7492881799</v>
      </c>
      <c r="L87">
        <v>-3111522.7492881799</v>
      </c>
      <c r="M87">
        <v>-3111522.7492881799</v>
      </c>
      <c r="N87">
        <v>4.9920462596512696</v>
      </c>
    </row>
    <row r="88" spans="1:14" x14ac:dyDescent="0.15">
      <c r="A88">
        <v>65</v>
      </c>
      <c r="B88" t="s">
        <v>1010</v>
      </c>
      <c r="C88" s="579">
        <v>3.2337105505563098E-4</v>
      </c>
      <c r="D88" s="579">
        <v>5.1370997001554195E-4</v>
      </c>
      <c r="E88" s="579">
        <v>2.5523480706844101E-4</v>
      </c>
      <c r="F88" s="579">
        <v>1.3821502348413501E-4</v>
      </c>
      <c r="G88" s="579">
        <v>1.86725788369152E-4</v>
      </c>
      <c r="H88" s="579">
        <v>1.35716273117398E-4</v>
      </c>
      <c r="I88" s="579">
        <v>1.9661815838209199E-4</v>
      </c>
      <c r="J88" s="579">
        <v>1.0984418709874899E-3</v>
      </c>
      <c r="K88">
        <v>-2975482.7297265399</v>
      </c>
      <c r="L88">
        <v>-2975482.7297265399</v>
      </c>
      <c r="M88">
        <v>-2975482.7297265399</v>
      </c>
      <c r="N88">
        <v>5.5866756154478203</v>
      </c>
    </row>
    <row r="89" spans="1:14" x14ac:dyDescent="0.15">
      <c r="A89">
        <v>66</v>
      </c>
      <c r="B89" t="s">
        <v>1011</v>
      </c>
      <c r="C89" s="579">
        <v>2.9680281748114802E-4</v>
      </c>
      <c r="D89" s="579">
        <v>5.5208334127699395E-4</v>
      </c>
      <c r="E89" s="579">
        <v>3.09226873467697E-4</v>
      </c>
      <c r="F89" s="579">
        <v>1.9108384300814299E-4</v>
      </c>
      <c r="G89" s="579">
        <v>2.1411452809673499E-4</v>
      </c>
      <c r="H89" s="579">
        <v>1.79460890069003E-4</v>
      </c>
      <c r="I89" s="579">
        <v>2.7643924902828699E-5</v>
      </c>
      <c r="J89" s="579">
        <v>1.10626632750361E-3</v>
      </c>
      <c r="K89">
        <v>-2996677.7841469101</v>
      </c>
      <c r="L89">
        <v>-2996677.7841469101</v>
      </c>
      <c r="M89">
        <v>-2996677.7841469101</v>
      </c>
      <c r="N89">
        <v>40.018424713286997</v>
      </c>
    </row>
    <row r="90" spans="1:14" x14ac:dyDescent="0.15">
      <c r="A90">
        <v>67</v>
      </c>
      <c r="B90" t="s">
        <v>1012</v>
      </c>
      <c r="C90" s="579">
        <v>2.9905638775860801E-4</v>
      </c>
      <c r="D90" s="579">
        <v>5.2092761325890603E-4</v>
      </c>
      <c r="E90" s="579">
        <v>3.2343697418243402E-4</v>
      </c>
      <c r="F90" s="579">
        <v>-1.4654432043008001E-4</v>
      </c>
      <c r="G90" s="579">
        <v>1.4102609968733701E-4</v>
      </c>
      <c r="H90" s="579">
        <v>1.6737426335496501E-4</v>
      </c>
      <c r="I90" s="579">
        <v>2.2979189575613999E-4</v>
      </c>
      <c r="J90" s="579">
        <v>1.07618087288735E-3</v>
      </c>
      <c r="K90">
        <v>-2915181.6640598699</v>
      </c>
      <c r="L90">
        <v>-2915181.6640598699</v>
      </c>
      <c r="M90">
        <v>-2915181.6640598699</v>
      </c>
      <c r="N90">
        <v>4.6832847143983596</v>
      </c>
    </row>
    <row r="91" spans="1:14" x14ac:dyDescent="0.15">
      <c r="A91">
        <v>68</v>
      </c>
      <c r="B91" t="s">
        <v>1013</v>
      </c>
      <c r="C91" s="579">
        <v>3.6940973610600001E-4</v>
      </c>
      <c r="D91" s="579">
        <v>4.84761085022912E-4</v>
      </c>
      <c r="E91" s="579">
        <v>2.9331917264536301E-4</v>
      </c>
      <c r="F91" s="579">
        <v>2.1791083445922601E-4</v>
      </c>
      <c r="G91" s="579">
        <v>2.90220036017825E-4</v>
      </c>
      <c r="H91" s="579">
        <v>1.9188309074432501E-4</v>
      </c>
      <c r="I91" s="579">
        <v>2.32878094749162E-4</v>
      </c>
      <c r="J91" s="579">
        <v>1.0909730755500799E-3</v>
      </c>
      <c r="K91">
        <v>-2955251.0976093998</v>
      </c>
      <c r="L91">
        <v>-2955251.0976093998</v>
      </c>
      <c r="M91">
        <v>-2955251.0976093998</v>
      </c>
      <c r="N91">
        <v>4.6847389262832602</v>
      </c>
    </row>
    <row r="92" spans="1:14" x14ac:dyDescent="0.15">
      <c r="A92">
        <v>69</v>
      </c>
      <c r="B92" t="s">
        <v>1014</v>
      </c>
      <c r="C92" s="579">
        <v>2.6552307440478798E-4</v>
      </c>
      <c r="D92" s="579">
        <v>5.4402655903734503E-4</v>
      </c>
      <c r="E92" s="579">
        <v>2.7466312059328001E-4</v>
      </c>
      <c r="F92" s="579">
        <v>2.9548968810451701E-4</v>
      </c>
      <c r="G92" s="579">
        <v>1.7202135196049399E-4</v>
      </c>
      <c r="H92" s="579">
        <v>1.7613939022396099E-4</v>
      </c>
      <c r="I92" s="579">
        <v>2.8078890457182198E-4</v>
      </c>
      <c r="J92" s="579">
        <v>1.13549886128101E-3</v>
      </c>
      <c r="K92">
        <v>-3075863.4941040799</v>
      </c>
      <c r="L92">
        <v>-3075863.4941040799</v>
      </c>
      <c r="M92">
        <v>-3075863.4941040799</v>
      </c>
      <c r="N92">
        <v>4.0439591550547496</v>
      </c>
    </row>
    <row r="93" spans="1:14" x14ac:dyDescent="0.15">
      <c r="A93">
        <v>70</v>
      </c>
      <c r="B93" t="s">
        <v>1015</v>
      </c>
      <c r="C93" s="579">
        <v>2.6979556709863398E-4</v>
      </c>
      <c r="D93" s="579">
        <v>5.5066775903999104E-4</v>
      </c>
      <c r="E93" s="579">
        <v>3.0995255845284598E-4</v>
      </c>
      <c r="F93" s="579">
        <v>1.85111865475103E-4</v>
      </c>
      <c r="G93" s="579">
        <v>1.3790424248766799E-4</v>
      </c>
      <c r="H93" s="579">
        <v>1.13300393279977E-4</v>
      </c>
      <c r="I93" s="579">
        <v>7.2740618303027496E-5</v>
      </c>
      <c r="J93" s="579">
        <v>1.1152792069724E-3</v>
      </c>
      <c r="K93">
        <v>-3021092.0639671101</v>
      </c>
      <c r="L93">
        <v>-3021092.0639671101</v>
      </c>
      <c r="M93">
        <v>-3021092.0639671101</v>
      </c>
      <c r="N93">
        <v>15.3322755977452</v>
      </c>
    </row>
    <row r="94" spans="1:14" x14ac:dyDescent="0.15">
      <c r="A94">
        <v>71</v>
      </c>
      <c r="B94" t="s">
        <v>1016</v>
      </c>
      <c r="C94" s="579">
        <v>3.2424770079951299E-4</v>
      </c>
      <c r="D94" s="579">
        <v>5.2878539286163899E-4</v>
      </c>
      <c r="E94" s="579">
        <v>2.88460659703309E-4</v>
      </c>
      <c r="F94" s="579">
        <v>1.8020720793973701E-4</v>
      </c>
      <c r="G94" s="579">
        <v>7.1143093393904501E-5</v>
      </c>
      <c r="H94" s="579">
        <v>2.74694051865589E-4</v>
      </c>
      <c r="I94" s="579">
        <v>7.8293493114916295E-5</v>
      </c>
      <c r="J94" s="579">
        <v>1.11242294771709E-3</v>
      </c>
      <c r="K94">
        <v>-3013354.9680767702</v>
      </c>
      <c r="L94">
        <v>-3013354.9680767702</v>
      </c>
      <c r="M94">
        <v>-3013354.9680767702</v>
      </c>
      <c r="N94">
        <v>14.208370369735899</v>
      </c>
    </row>
    <row r="95" spans="1:14" x14ac:dyDescent="0.15">
      <c r="A95">
        <v>72</v>
      </c>
      <c r="B95" t="s">
        <v>1017</v>
      </c>
      <c r="C95" s="579">
        <v>3.1574507373215399E-4</v>
      </c>
      <c r="D95" s="579">
        <v>5.00481056980816E-4</v>
      </c>
      <c r="E95" s="579">
        <v>2.9478342833095199E-4</v>
      </c>
      <c r="F95" s="579">
        <v>1.6711090159976101E-4</v>
      </c>
      <c r="G95" s="579">
        <v>2.0826994792526199E-4</v>
      </c>
      <c r="H95" s="579">
        <v>1.2596996325178601E-4</v>
      </c>
      <c r="I95" s="579">
        <v>3.5922217315995997E-4</v>
      </c>
      <c r="J95" s="579">
        <v>1.1164393832677399E-3</v>
      </c>
      <c r="K95">
        <v>-3024234.7742200498</v>
      </c>
      <c r="L95">
        <v>-3024234.7742200498</v>
      </c>
      <c r="M95">
        <v>-3024234.7742200498</v>
      </c>
      <c r="N95">
        <v>3.1079356083361702</v>
      </c>
    </row>
    <row r="96" spans="1:14" x14ac:dyDescent="0.15">
      <c r="A96">
        <v>73</v>
      </c>
      <c r="B96" t="s">
        <v>1018</v>
      </c>
      <c r="C96" s="579">
        <v>2.9648399644465297E-4</v>
      </c>
      <c r="D96" s="579">
        <v>4.9611318388260496E-4</v>
      </c>
      <c r="E96" s="579">
        <v>3.4406690994125599E-4</v>
      </c>
      <c r="F96" s="579">
        <v>8.7299120825442796E-5</v>
      </c>
      <c r="G96" s="579">
        <v>9.7653067804105898E-5</v>
      </c>
      <c r="H96" s="579">
        <v>1.7713964531645E-4</v>
      </c>
      <c r="I96" s="579">
        <v>6.3570422954517699E-5</v>
      </c>
      <c r="J96" s="579">
        <v>1.09603046397182E-3</v>
      </c>
      <c r="K96">
        <v>-2968950.6590553601</v>
      </c>
      <c r="L96">
        <v>-2968950.6590553601</v>
      </c>
      <c r="M96">
        <v>-2968950.6590553601</v>
      </c>
      <c r="N96">
        <v>17.241201380019</v>
      </c>
    </row>
    <row r="97" spans="1:14" x14ac:dyDescent="0.15">
      <c r="A97">
        <v>74</v>
      </c>
      <c r="B97" t="s">
        <v>1019</v>
      </c>
      <c r="C97" s="579">
        <v>2.9329109927526601E-4</v>
      </c>
      <c r="D97" s="579">
        <v>5.2095787647193795E-4</v>
      </c>
      <c r="E97" s="579">
        <v>2.9992384013863602E-4</v>
      </c>
      <c r="F97" s="579">
        <v>1.14221214499605E-4</v>
      </c>
      <c r="G97" s="579">
        <v>4.3893923249095598E-5</v>
      </c>
      <c r="H97" s="579">
        <v>1.11628726202339E-4</v>
      </c>
      <c r="I97" s="579">
        <v>2.2727419752404399E-4</v>
      </c>
      <c r="J97" s="579">
        <v>1.0887604828507501E-3</v>
      </c>
      <c r="K97">
        <v>-2949257.5793917701</v>
      </c>
      <c r="L97">
        <v>-2949257.5793917701</v>
      </c>
      <c r="M97">
        <v>-2949257.5793917701</v>
      </c>
      <c r="N97">
        <v>4.7905151341941004</v>
      </c>
    </row>
    <row r="98" spans="1:14" x14ac:dyDescent="0.15">
      <c r="A98">
        <v>75</v>
      </c>
      <c r="B98" t="s">
        <v>1020</v>
      </c>
      <c r="C98" s="579">
        <v>3.60913941782773E-4</v>
      </c>
      <c r="D98" s="579">
        <v>5.3250265381482305E-4</v>
      </c>
      <c r="E98" s="579">
        <v>2.5846805381780902E-4</v>
      </c>
      <c r="F98" s="579">
        <v>1.2701284903447599E-4</v>
      </c>
      <c r="G98" s="579">
        <v>2.2378003493829499E-4</v>
      </c>
      <c r="H98" s="579">
        <v>1.76113333186165E-4</v>
      </c>
      <c r="I98" s="579">
        <v>2.3336060141633199E-4</v>
      </c>
      <c r="J98" s="579">
        <v>1.14015631277617E-3</v>
      </c>
      <c r="K98">
        <v>-3088479.6978872698</v>
      </c>
      <c r="L98">
        <v>-3088479.6978872698</v>
      </c>
      <c r="M98">
        <v>-3088479.6978872698</v>
      </c>
      <c r="N98">
        <v>4.8858132257811997</v>
      </c>
    </row>
    <row r="99" spans="1:14" x14ac:dyDescent="0.15">
      <c r="A99">
        <v>76</v>
      </c>
      <c r="B99" t="s">
        <v>1021</v>
      </c>
      <c r="C99" s="579">
        <v>3.5323119097815898E-4</v>
      </c>
      <c r="D99" s="579">
        <v>5.4236583657793903E-4</v>
      </c>
      <c r="E99" s="579">
        <v>2.8484157353598003E-4</v>
      </c>
      <c r="F99" s="579">
        <v>1.12305523779473E-4</v>
      </c>
      <c r="G99" s="579">
        <v>1.12973318590834E-4</v>
      </c>
      <c r="H99" s="579">
        <v>1.6343818601316E-4</v>
      </c>
      <c r="I99" s="579">
        <v>2.1098256589700801E-4</v>
      </c>
      <c r="J99" s="579">
        <v>1.1529509285457299E-3</v>
      </c>
      <c r="K99">
        <v>-3123138.0255251299</v>
      </c>
      <c r="L99">
        <v>-3123138.0255251299</v>
      </c>
      <c r="M99">
        <v>-3123138.0255251299</v>
      </c>
      <c r="N99">
        <v>5.46467393475797</v>
      </c>
    </row>
    <row r="100" spans="1:14" x14ac:dyDescent="0.15">
      <c r="A100">
        <v>77</v>
      </c>
      <c r="B100" t="s">
        <v>1022</v>
      </c>
      <c r="C100" s="579">
        <v>2.8683854845579302E-4</v>
      </c>
      <c r="D100" s="579">
        <v>5.2356345624753205E-4</v>
      </c>
      <c r="E100" s="579">
        <v>3.0396021960165699E-4</v>
      </c>
      <c r="F100" s="579">
        <v>1.35034053130585E-4</v>
      </c>
      <c r="G100" s="579">
        <v>2.7930765775721102E-4</v>
      </c>
      <c r="H100" s="579">
        <v>1.5650009893065599E-4</v>
      </c>
      <c r="I100" s="579">
        <v>2.0557758367829699E-4</v>
      </c>
      <c r="J100" s="579">
        <v>1.16990631770567E-3</v>
      </c>
      <c r="K100">
        <v>-3169067.1447199699</v>
      </c>
      <c r="L100">
        <v>-3169067.1447199699</v>
      </c>
      <c r="M100">
        <v>-3169067.1447199699</v>
      </c>
      <c r="N100">
        <v>5.6908262893897401</v>
      </c>
    </row>
    <row r="101" spans="1:14" x14ac:dyDescent="0.15">
      <c r="A101">
        <v>78</v>
      </c>
      <c r="B101" t="s">
        <v>1023</v>
      </c>
      <c r="C101" s="579">
        <v>3.20713097988981E-4</v>
      </c>
      <c r="D101" s="579">
        <v>5.6030635343646998E-4</v>
      </c>
      <c r="E101" s="579">
        <v>2.9586729360514498E-4</v>
      </c>
      <c r="F101" s="579">
        <v>3.4133327221920397E-5</v>
      </c>
      <c r="G101" s="579">
        <v>2.6976722289981402E-4</v>
      </c>
      <c r="H101" s="579">
        <v>1.95512684922239E-4</v>
      </c>
      <c r="I101" s="579">
        <v>3.3693867265744998E-4</v>
      </c>
      <c r="J101" s="579">
        <v>1.1317280739845199E-3</v>
      </c>
      <c r="K101">
        <v>-3065649.1051823301</v>
      </c>
      <c r="L101">
        <v>-3065649.1051823301</v>
      </c>
      <c r="M101">
        <v>-3065649.1051823301</v>
      </c>
      <c r="N101">
        <v>3.3588547881978998</v>
      </c>
    </row>
    <row r="102" spans="1:14" x14ac:dyDescent="0.15">
      <c r="A102">
        <v>79</v>
      </c>
      <c r="B102" t="s">
        <v>1024</v>
      </c>
      <c r="C102" s="579">
        <v>3.2804097780619E-4</v>
      </c>
      <c r="D102" s="579">
        <v>5.6789429994335097E-4</v>
      </c>
      <c r="E102" s="579">
        <v>3.3891052988228198E-4</v>
      </c>
      <c r="F102" s="579">
        <v>2.87740815538795E-4</v>
      </c>
      <c r="G102" s="579">
        <v>1.6031014309507099E-4</v>
      </c>
      <c r="H102" s="579">
        <v>3.1784854606803597E-4</v>
      </c>
      <c r="I102" s="579">
        <v>5.9676978813498599E-5</v>
      </c>
      <c r="J102" s="579">
        <v>1.1032407923504499E-3</v>
      </c>
      <c r="K102">
        <v>-2988482.15010003</v>
      </c>
      <c r="L102">
        <v>-2988482.15010003</v>
      </c>
      <c r="M102">
        <v>-2988482.15010003</v>
      </c>
      <c r="N102">
        <v>18.486874072467401</v>
      </c>
    </row>
    <row r="103" spans="1:14" x14ac:dyDescent="0.15">
      <c r="A103">
        <v>80</v>
      </c>
      <c r="B103" t="s">
        <v>1025</v>
      </c>
      <c r="C103" s="579">
        <v>3.21667838257111E-4</v>
      </c>
      <c r="D103" s="579">
        <v>5.3430200580567501E-4</v>
      </c>
      <c r="E103" s="579">
        <v>2.88318410408015E-4</v>
      </c>
      <c r="F103" s="579">
        <v>2.5372171090920303E-4</v>
      </c>
      <c r="G103" s="579">
        <v>1.3561114011243099E-4</v>
      </c>
      <c r="H103" s="579">
        <v>1.22449306678817E-4</v>
      </c>
      <c r="I103" s="579">
        <v>2.0406475636809601E-4</v>
      </c>
      <c r="J103" s="579">
        <v>1.11012714767794E-3</v>
      </c>
      <c r="K103">
        <v>-3007136.05604525</v>
      </c>
      <c r="L103">
        <v>-3007136.05604525</v>
      </c>
      <c r="M103">
        <v>-3007136.05604525</v>
      </c>
      <c r="N103">
        <v>5.4400728839009904</v>
      </c>
    </row>
    <row r="104" spans="1:14" x14ac:dyDescent="0.15">
      <c r="A104">
        <v>81</v>
      </c>
      <c r="B104" t="s">
        <v>1026</v>
      </c>
      <c r="C104" s="579">
        <v>2.9060760709607601E-4</v>
      </c>
      <c r="D104" s="579">
        <v>9.2275241769992802E-4</v>
      </c>
      <c r="E104" s="579">
        <v>3.0484004867850601E-4</v>
      </c>
      <c r="F104" s="579">
        <v>7.1237848049781206E-5</v>
      </c>
      <c r="G104" s="579">
        <v>1.5280077710102299E-4</v>
      </c>
      <c r="H104" s="579">
        <v>1.65465074799834E-4</v>
      </c>
      <c r="I104" s="579">
        <v>1.68014184840256E-4</v>
      </c>
      <c r="J104" s="579">
        <v>2.89730040352658E-3</v>
      </c>
      <c r="K104">
        <v>-7848269.0265375096</v>
      </c>
      <c r="L104">
        <v>-7848269.0265375096</v>
      </c>
      <c r="M104">
        <v>-7848269.0265375096</v>
      </c>
      <c r="N104">
        <v>17.2443797306831</v>
      </c>
    </row>
    <row r="105" spans="1:14" x14ac:dyDescent="0.15">
      <c r="A105">
        <v>82</v>
      </c>
      <c r="B105" t="s">
        <v>1027</v>
      </c>
      <c r="C105" s="579">
        <v>3.2830132681156297E-4</v>
      </c>
      <c r="D105" s="579">
        <v>3.59958646575525E-3</v>
      </c>
      <c r="E105" s="579">
        <v>3.4096421700115898E-4</v>
      </c>
      <c r="F105" s="579">
        <v>1.6525529672631101E-4</v>
      </c>
      <c r="G105" s="579">
        <v>3.0503917703208398E-4</v>
      </c>
      <c r="H105" s="579">
        <v>9.6085771172429895E-5</v>
      </c>
      <c r="I105" s="579">
        <v>2.9462005801836702E-4</v>
      </c>
      <c r="J105" s="579">
        <v>1.5032286004991799E-2</v>
      </c>
      <c r="K105">
        <v>-40719776.419258699</v>
      </c>
      <c r="L105">
        <v>-40719776.419258699</v>
      </c>
      <c r="M105">
        <v>-40719776.419258699</v>
      </c>
      <c r="N105">
        <v>51.022615724468501</v>
      </c>
    </row>
    <row r="106" spans="1:14" x14ac:dyDescent="0.15">
      <c r="A106">
        <v>83</v>
      </c>
      <c r="B106" t="s">
        <v>1028</v>
      </c>
      <c r="C106" s="579">
        <v>3.3939211013182298E-4</v>
      </c>
      <c r="D106" s="579">
        <v>9.79000967955484E-3</v>
      </c>
      <c r="E106" s="579">
        <v>2.5526515445076703E-4</v>
      </c>
      <c r="F106" s="579">
        <v>2.6235102812849999E-4</v>
      </c>
      <c r="G106" s="579">
        <v>1.4591953059839801E-4</v>
      </c>
      <c r="H106" s="579">
        <v>1.7344493188726099E-4</v>
      </c>
      <c r="I106" s="579">
        <v>2.95530006436386E-4</v>
      </c>
      <c r="J106" s="579">
        <v>4.3268356358094701E-2</v>
      </c>
      <c r="K106">
        <v>-117206245.03454401</v>
      </c>
      <c r="L106">
        <v>-117206245.03454401</v>
      </c>
      <c r="M106">
        <v>-117206245.03454401</v>
      </c>
      <c r="N106">
        <v>146.40935071142499</v>
      </c>
    </row>
    <row r="107" spans="1:14" x14ac:dyDescent="0.15">
      <c r="A107">
        <v>84</v>
      </c>
      <c r="B107" t="s">
        <v>1029</v>
      </c>
      <c r="C107" s="579">
        <v>2.8498226834863398E-4</v>
      </c>
      <c r="D107" s="579">
        <v>1.6356351631339399E-2</v>
      </c>
      <c r="E107" s="579">
        <v>2.6049793226942599E-4</v>
      </c>
      <c r="F107" s="579">
        <v>2.3337943911019799E-4</v>
      </c>
      <c r="G107" s="579">
        <v>8.9795382183166099E-5</v>
      </c>
      <c r="H107" s="579">
        <v>1.20830728889414E-4</v>
      </c>
      <c r="I107" s="579">
        <v>1.96834316694311E-4</v>
      </c>
      <c r="J107" s="579">
        <v>7.3297330753696696E-2</v>
      </c>
      <c r="K107">
        <v>-198549370.29723001</v>
      </c>
      <c r="L107">
        <v>-198549370.29723001</v>
      </c>
      <c r="M107">
        <v>-198549370.29723001</v>
      </c>
      <c r="N107">
        <v>372.380853017258</v>
      </c>
    </row>
    <row r="108" spans="1:14" x14ac:dyDescent="0.15">
      <c r="A108">
        <v>85</v>
      </c>
      <c r="B108" t="s">
        <v>1030</v>
      </c>
      <c r="C108" s="579">
        <v>3.1200464498957998E-4</v>
      </c>
      <c r="D108" s="579">
        <v>2.10383260793887E-2</v>
      </c>
      <c r="E108" s="579">
        <v>2.7547947757387798E-4</v>
      </c>
      <c r="F108" s="579">
        <v>1.51834071820901E-4</v>
      </c>
      <c r="G108" s="579">
        <v>1.3969611046497999E-4</v>
      </c>
      <c r="H108" s="579">
        <v>2.5344754295551802E-4</v>
      </c>
      <c r="I108" s="579">
        <v>1.08118285403399E-4</v>
      </c>
      <c r="J108" s="579">
        <v>9.4892186876118806E-2</v>
      </c>
      <c r="K108">
        <v>-257045976.390214</v>
      </c>
      <c r="L108">
        <v>-257045976.390214</v>
      </c>
      <c r="M108">
        <v>-257045976.390214</v>
      </c>
      <c r="N108">
        <v>877.67010475672203</v>
      </c>
    </row>
    <row r="109" spans="1:14" x14ac:dyDescent="0.15">
      <c r="A109">
        <v>86</v>
      </c>
      <c r="B109" t="s">
        <v>1031</v>
      </c>
      <c r="C109" s="579">
        <v>3.3763620503805001E-4</v>
      </c>
      <c r="D109" s="579">
        <v>2.4328926358417598E-2</v>
      </c>
      <c r="E109" s="579">
        <v>2.8964766210033498E-4</v>
      </c>
      <c r="F109" s="579">
        <v>2.32182882434669E-4</v>
      </c>
      <c r="G109" s="579">
        <v>2.24536703259402E-4</v>
      </c>
      <c r="H109" s="579">
        <v>2.5639810507232998E-4</v>
      </c>
      <c r="I109" s="579">
        <v>1.78823198516887E-4</v>
      </c>
      <c r="J109" s="579">
        <v>0.11012857067705201</v>
      </c>
      <c r="K109">
        <v>-298318617.26506299</v>
      </c>
      <c r="L109">
        <v>-298318617.26506299</v>
      </c>
      <c r="M109">
        <v>-298318617.26506299</v>
      </c>
      <c r="N109">
        <v>615.851699278561</v>
      </c>
    </row>
    <row r="110" spans="1:14" x14ac:dyDescent="0.15">
      <c r="A110">
        <v>87</v>
      </c>
      <c r="B110" t="s">
        <v>1032</v>
      </c>
      <c r="C110" s="579">
        <v>3.0906343228125798E-4</v>
      </c>
      <c r="D110" s="579">
        <v>2.5624433244596598E-2</v>
      </c>
      <c r="E110" s="579">
        <v>3.5680586920535301E-4</v>
      </c>
      <c r="F110" s="579">
        <v>9.2684026674105398E-5</v>
      </c>
      <c r="G110" s="579">
        <v>6.1649754897147999E-5</v>
      </c>
      <c r="H110" s="579">
        <v>2.41186587843901E-4</v>
      </c>
      <c r="I110" s="579">
        <v>7.9388485031712595E-5</v>
      </c>
      <c r="J110" s="579">
        <v>0.11612998020133999</v>
      </c>
      <c r="K110">
        <v>-314575363.17505002</v>
      </c>
      <c r="L110">
        <v>-314575363.17505002</v>
      </c>
      <c r="M110">
        <v>-314575363.17505002</v>
      </c>
      <c r="N110">
        <v>1462.8063522682201</v>
      </c>
    </row>
    <row r="111" spans="1:14" x14ac:dyDescent="0.15">
      <c r="A111">
        <v>88</v>
      </c>
      <c r="B111" t="s">
        <v>1033</v>
      </c>
      <c r="C111" s="579">
        <v>2.98717280689281E-4</v>
      </c>
      <c r="D111" s="579">
        <v>2.6186456703728701E-2</v>
      </c>
      <c r="E111" s="579">
        <v>3.0527868224177899E-4</v>
      </c>
      <c r="F111" s="579">
        <v>1.8069985427658899E-4</v>
      </c>
      <c r="G111" s="579">
        <v>3.3470937336242999E-4</v>
      </c>
      <c r="H111" s="579">
        <v>2.6514046181449E-4</v>
      </c>
      <c r="I111" s="579">
        <v>3.2376518496109999E-4</v>
      </c>
      <c r="J111" s="579">
        <v>0.11878298334212201</v>
      </c>
      <c r="K111">
        <v>-321761874.57433897</v>
      </c>
      <c r="L111">
        <v>-321761874.57433897</v>
      </c>
      <c r="M111">
        <v>-321761874.57433897</v>
      </c>
      <c r="N111">
        <v>366.88003793982301</v>
      </c>
    </row>
    <row r="112" spans="1:14" x14ac:dyDescent="0.15">
      <c r="A112">
        <v>89</v>
      </c>
      <c r="B112" t="s">
        <v>1034</v>
      </c>
      <c r="C112" s="579">
        <v>3.7658400238873099E-4</v>
      </c>
      <c r="D112" s="579">
        <v>2.61688158710742E-2</v>
      </c>
      <c r="E112" s="579">
        <v>2.6876994552406798E-4</v>
      </c>
      <c r="F112" s="579">
        <v>2.3737704698383399E-4</v>
      </c>
      <c r="G112" s="579">
        <v>1.52288530657642E-4</v>
      </c>
      <c r="H112" s="579">
        <v>9.9745980784347497E-5</v>
      </c>
      <c r="I112" s="579">
        <v>7.73018283913541E-5</v>
      </c>
      <c r="J112" s="579">
        <v>0.11873807916477599</v>
      </c>
      <c r="K112">
        <v>-321640237.18257803</v>
      </c>
      <c r="L112">
        <v>-321640237.18257803</v>
      </c>
      <c r="M112">
        <v>-321640237.18257803</v>
      </c>
      <c r="N112">
        <v>1536.03196244781</v>
      </c>
    </row>
    <row r="113" spans="1:14" x14ac:dyDescent="0.15">
      <c r="A113">
        <v>90</v>
      </c>
      <c r="B113" t="s">
        <v>1035</v>
      </c>
      <c r="C113" s="579">
        <v>3.6879108192846899E-4</v>
      </c>
      <c r="D113" s="579">
        <v>2.6617933740068999E-2</v>
      </c>
      <c r="E113" s="579">
        <v>2.8001181703551502E-4</v>
      </c>
      <c r="F113" s="579">
        <v>1.5436924049406399E-4</v>
      </c>
      <c r="G113" s="579">
        <v>1.4676734880212801E-4</v>
      </c>
      <c r="H113" s="579">
        <v>1.6110937553166801E-4</v>
      </c>
      <c r="I113" s="579">
        <v>1.5587618260999101E-4</v>
      </c>
      <c r="J113" s="579">
        <v>0.121153664317115</v>
      </c>
      <c r="K113">
        <v>-328183625.67932999</v>
      </c>
      <c r="L113">
        <v>-328183625.67932999</v>
      </c>
      <c r="M113">
        <v>-328183625.67932999</v>
      </c>
      <c r="N113">
        <v>777.24295199252094</v>
      </c>
    </row>
    <row r="114" spans="1:14" x14ac:dyDescent="0.15">
      <c r="A114">
        <v>91</v>
      </c>
      <c r="B114" t="s">
        <v>1036</v>
      </c>
      <c r="C114" s="579">
        <v>3.2604706190360701E-4</v>
      </c>
      <c r="D114" s="579">
        <v>2.7045306968252199E-2</v>
      </c>
      <c r="E114" s="579">
        <v>2.9926863018108201E-4</v>
      </c>
      <c r="F114" s="579">
        <v>2.5099627937892301E-4</v>
      </c>
      <c r="G114" s="579">
        <v>2.5519290339077002E-4</v>
      </c>
      <c r="H114" s="579">
        <v>1.6586643104096101E-4</v>
      </c>
      <c r="I114" s="579">
        <v>1.6514611116285599E-4</v>
      </c>
      <c r="J114" s="579">
        <v>0.12299337200740799</v>
      </c>
      <c r="K114">
        <v>-333167065.04448301</v>
      </c>
      <c r="L114">
        <v>-333167065.04448301</v>
      </c>
      <c r="M114">
        <v>-333167065.04448301</v>
      </c>
      <c r="N114">
        <v>744.75487882436596</v>
      </c>
    </row>
    <row r="115" spans="1:14" x14ac:dyDescent="0.15">
      <c r="A115">
        <v>92</v>
      </c>
      <c r="B115" t="s">
        <v>1037</v>
      </c>
      <c r="C115" s="579">
        <v>3.3800464527084E-4</v>
      </c>
      <c r="D115" s="579">
        <v>2.5958438461649601E-2</v>
      </c>
      <c r="E115" s="579">
        <v>3.3259974499725501E-4</v>
      </c>
      <c r="F115" s="579">
        <v>6.36640497062022E-5</v>
      </c>
      <c r="G115" s="579">
        <v>1.8245598280996101E-4</v>
      </c>
      <c r="H115" s="579">
        <v>2.9406641980433198E-4</v>
      </c>
      <c r="I115" s="579">
        <v>2.9736584020157998E-4</v>
      </c>
      <c r="J115" s="579">
        <v>0.117589543285013</v>
      </c>
      <c r="K115">
        <v>-318529058.73520797</v>
      </c>
      <c r="L115">
        <v>-318529058.73520797</v>
      </c>
      <c r="M115">
        <v>-318529058.73520797</v>
      </c>
      <c r="N115">
        <v>395.43729436205803</v>
      </c>
    </row>
    <row r="116" spans="1:14" x14ac:dyDescent="0.15">
      <c r="A116">
        <v>93</v>
      </c>
      <c r="B116" t="s">
        <v>1038</v>
      </c>
      <c r="C116" s="579">
        <v>3.4863035277890299E-4</v>
      </c>
      <c r="D116" s="579">
        <v>2.5836246209146301E-2</v>
      </c>
      <c r="E116" s="579">
        <v>2.5323326677303401E-4</v>
      </c>
      <c r="F116" s="579">
        <v>1.61805453273234E-4</v>
      </c>
      <c r="G116" s="579">
        <v>8.1647553860316699E-5</v>
      </c>
      <c r="H116" s="579">
        <v>1.92167955246646E-4</v>
      </c>
      <c r="I116" s="579">
        <v>1.6580980827481399E-4</v>
      </c>
      <c r="J116" s="579">
        <v>0.116769474577961</v>
      </c>
      <c r="K116">
        <v>-316307639.15947098</v>
      </c>
      <c r="L116">
        <v>-316307639.15947098</v>
      </c>
      <c r="M116">
        <v>-316307639.15947098</v>
      </c>
      <c r="N116">
        <v>704.23743801951105</v>
      </c>
    </row>
    <row r="117" spans="1:14" x14ac:dyDescent="0.15">
      <c r="A117">
        <v>94</v>
      </c>
      <c r="B117" t="s">
        <v>1039</v>
      </c>
      <c r="C117" s="579">
        <v>3.3151246743092801E-4</v>
      </c>
      <c r="D117" s="579">
        <v>2.6632856390390799E-2</v>
      </c>
      <c r="E117" s="579">
        <v>3.0353037510698398E-4</v>
      </c>
      <c r="F117" s="579">
        <v>1.51245933378399E-4</v>
      </c>
      <c r="G117" s="579">
        <v>1.4546042346251601E-4</v>
      </c>
      <c r="H117" s="579">
        <v>1.5072083593284299E-4</v>
      </c>
      <c r="I117" s="579">
        <v>2.09063716650233E-4</v>
      </c>
      <c r="J117" s="579">
        <v>0.120525186915257</v>
      </c>
      <c r="K117">
        <v>-326481192.710738</v>
      </c>
      <c r="L117">
        <v>-326481192.710738</v>
      </c>
      <c r="M117">
        <v>-326481192.710738</v>
      </c>
      <c r="N117">
        <v>576.49978124562801</v>
      </c>
    </row>
    <row r="118" spans="1:14" x14ac:dyDescent="0.15">
      <c r="A118">
        <v>95</v>
      </c>
      <c r="B118" t="s">
        <v>1040</v>
      </c>
      <c r="C118" s="579">
        <v>3.2168456568387499E-4</v>
      </c>
      <c r="D118" s="579">
        <v>2.6698716581365599E-2</v>
      </c>
      <c r="E118" s="579">
        <v>2.8917906769880899E-4</v>
      </c>
      <c r="F118" s="579">
        <v>8.41095499181709E-5</v>
      </c>
      <c r="G118" s="579">
        <v>2.62790250410359E-4</v>
      </c>
      <c r="H118" s="579">
        <v>1.6486429866872899E-4</v>
      </c>
      <c r="I118" s="579">
        <v>3.6806573673050602E-4</v>
      </c>
      <c r="J118" s="579">
        <v>0.120858059951766</v>
      </c>
      <c r="K118">
        <v>-327382886.28004098</v>
      </c>
      <c r="L118">
        <v>-327382886.28004098</v>
      </c>
      <c r="M118">
        <v>-327382886.28004098</v>
      </c>
      <c r="N118">
        <v>328.35998543449602</v>
      </c>
    </row>
    <row r="119" spans="1:14" x14ac:dyDescent="0.15">
      <c r="A119">
        <v>96</v>
      </c>
      <c r="B119" t="s">
        <v>1041</v>
      </c>
      <c r="C119" s="579">
        <v>2.8144491301270201E-4</v>
      </c>
      <c r="D119" s="579">
        <v>2.5986178004233602E-2</v>
      </c>
      <c r="E119" s="579">
        <v>2.8271330953438697E-4</v>
      </c>
      <c r="F119" s="579">
        <v>1.21560306168238E-4</v>
      </c>
      <c r="G119" s="579">
        <v>1.8206670742322101E-4</v>
      </c>
      <c r="H119" s="579">
        <v>1.8998224787516001E-4</v>
      </c>
      <c r="I119" s="579">
        <v>1.28873982993693E-5</v>
      </c>
      <c r="J119" s="579">
        <v>0.117696379917777</v>
      </c>
      <c r="K119">
        <v>-318818460.08095801</v>
      </c>
      <c r="L119">
        <v>-318818460.08095801</v>
      </c>
      <c r="M119">
        <v>-318818460.08095801</v>
      </c>
      <c r="N119">
        <v>9132.6718693513994</v>
      </c>
    </row>
    <row r="120" spans="1:14" x14ac:dyDescent="0.15">
      <c r="A120">
        <v>97</v>
      </c>
      <c r="B120" t="s">
        <v>1042</v>
      </c>
      <c r="C120" s="579">
        <v>3.10402490920748E-4</v>
      </c>
      <c r="D120" s="579">
        <v>2.5848831400261299E-2</v>
      </c>
      <c r="E120" s="579">
        <v>2.90602281780454E-4</v>
      </c>
      <c r="F120" s="579">
        <v>1.8340341893927401E-4</v>
      </c>
      <c r="G120" s="579">
        <v>-2.9048956140567799E-6</v>
      </c>
      <c r="H120" s="579">
        <v>9.77830017365632E-5</v>
      </c>
      <c r="I120" s="579">
        <v>2.18144329596556E-4</v>
      </c>
      <c r="J120" s="579">
        <v>0.11713899066075199</v>
      </c>
      <c r="K120">
        <v>-317308592.19279999</v>
      </c>
      <c r="L120">
        <v>-317308592.19279999</v>
      </c>
      <c r="M120">
        <v>-317308592.19279999</v>
      </c>
      <c r="N120">
        <v>536.97930575318401</v>
      </c>
    </row>
    <row r="121" spans="1:14" x14ac:dyDescent="0.15">
      <c r="A121">
        <v>98</v>
      </c>
      <c r="B121" t="s">
        <v>1043</v>
      </c>
      <c r="C121" s="579">
        <v>3.4946867560134301E-4</v>
      </c>
      <c r="D121" s="579">
        <v>2.6175130332941301E-2</v>
      </c>
      <c r="E121" s="579">
        <v>3.1716877921710002E-4</v>
      </c>
      <c r="F121" s="579">
        <v>6.0424283850827903E-5</v>
      </c>
      <c r="G121" s="579">
        <v>1.4733748252344101E-4</v>
      </c>
      <c r="H121" s="579">
        <v>7.2964743690114199E-5</v>
      </c>
      <c r="I121" s="579">
        <v>3.8305276297389998E-4</v>
      </c>
      <c r="J121" s="579">
        <v>0.118158877266833</v>
      </c>
      <c r="K121">
        <v>-320071282.74823499</v>
      </c>
      <c r="L121">
        <v>-320071282.74823499</v>
      </c>
      <c r="M121">
        <v>-320071282.74823499</v>
      </c>
      <c r="N121">
        <v>308.46632288848298</v>
      </c>
    </row>
    <row r="122" spans="1:14" x14ac:dyDescent="0.15">
      <c r="A122">
        <v>99</v>
      </c>
      <c r="B122" t="s">
        <v>1044</v>
      </c>
      <c r="C122" s="579">
        <v>3.2313069293414098E-4</v>
      </c>
      <c r="D122" s="579">
        <v>2.5775338514074399E-2</v>
      </c>
      <c r="E122" s="579">
        <v>3.2048973251453501E-4</v>
      </c>
      <c r="F122" s="579">
        <v>2.3046378658512899E-4</v>
      </c>
      <c r="G122" s="579">
        <v>2.3802416456941E-4</v>
      </c>
      <c r="H122" s="579">
        <v>3.8840338282300102E-5</v>
      </c>
      <c r="I122" s="579">
        <v>1.0152180343061301E-4</v>
      </c>
      <c r="J122" s="579">
        <v>0.11636070534993199</v>
      </c>
      <c r="K122">
        <v>-315200356.37048799</v>
      </c>
      <c r="L122">
        <v>-315200356.37048799</v>
      </c>
      <c r="M122">
        <v>-315200356.37048799</v>
      </c>
      <c r="N122">
        <v>1146.1646800774199</v>
      </c>
    </row>
    <row r="123" spans="1:14" x14ac:dyDescent="0.15">
      <c r="A123">
        <v>100</v>
      </c>
      <c r="B123" t="s">
        <v>1045</v>
      </c>
      <c r="C123" s="579">
        <v>3.33888056607762E-4</v>
      </c>
      <c r="D123" s="579">
        <v>2.5910407105317199E-2</v>
      </c>
      <c r="E123" s="579">
        <v>2.93016011089761E-4</v>
      </c>
      <c r="F123" s="579">
        <v>2.21300885133854E-4</v>
      </c>
      <c r="G123" s="579">
        <v>2.7561834106800499E-4</v>
      </c>
      <c r="H123" s="579">
        <v>4.01758069554955E-4</v>
      </c>
      <c r="I123" s="579">
        <v>1.29244578993013E-4</v>
      </c>
      <c r="J123" s="579">
        <v>0.11702649540806601</v>
      </c>
      <c r="K123">
        <v>-317003862.65691298</v>
      </c>
      <c r="L123">
        <v>-317003862.65691298</v>
      </c>
      <c r="M123">
        <v>-317003862.65691298</v>
      </c>
      <c r="N123">
        <v>905.46540767788701</v>
      </c>
    </row>
    <row r="124" spans="1:14" x14ac:dyDescent="0.15">
      <c r="A124">
        <v>101</v>
      </c>
      <c r="B124" t="s">
        <v>1046</v>
      </c>
      <c r="C124" s="579">
        <v>3.3505342262076898E-4</v>
      </c>
      <c r="D124" s="579">
        <v>2.56560067280556E-2</v>
      </c>
      <c r="E124" s="579">
        <v>3.05060157500579E-4</v>
      </c>
      <c r="F124" s="579">
        <v>2.4646726527661198E-4</v>
      </c>
      <c r="G124" s="579">
        <v>1.4091734044611301E-4</v>
      </c>
      <c r="H124" s="579">
        <v>6.5733874574819699E-5</v>
      </c>
      <c r="I124" s="579">
        <v>1.3861603277965401E-4</v>
      </c>
      <c r="J124" s="579">
        <v>0.11610586596681401</v>
      </c>
      <c r="K124">
        <v>-314510042.02309102</v>
      </c>
      <c r="L124">
        <v>-314510042.02309102</v>
      </c>
      <c r="M124">
        <v>-314510042.02309102</v>
      </c>
      <c r="N124">
        <v>837.60776901888096</v>
      </c>
    </row>
    <row r="125" spans="1:14" x14ac:dyDescent="0.15">
      <c r="A125">
        <v>102</v>
      </c>
      <c r="B125" t="s">
        <v>1047</v>
      </c>
      <c r="C125" s="579">
        <v>3.07866903446604E-4</v>
      </c>
      <c r="D125" s="579">
        <v>2.5536103983285301E-2</v>
      </c>
      <c r="E125" s="579">
        <v>2.94384633922711E-4</v>
      </c>
      <c r="F125" s="579">
        <v>2.75127347473355E-4</v>
      </c>
      <c r="G125" s="579">
        <v>1.14050068404869E-4</v>
      </c>
      <c r="H125" s="579">
        <v>3.93777899593151E-4</v>
      </c>
      <c r="I125" s="579">
        <v>2.2949681035791501E-4</v>
      </c>
      <c r="J125" s="579">
        <v>0.115591491023684</v>
      </c>
      <c r="K125">
        <v>-313116692.22433501</v>
      </c>
      <c r="L125">
        <v>-313116692.22433501</v>
      </c>
      <c r="M125">
        <v>-313116692.22433501</v>
      </c>
      <c r="N125">
        <v>503.67362772237402</v>
      </c>
    </row>
    <row r="126" spans="1:14" x14ac:dyDescent="0.15">
      <c r="A126">
        <v>103</v>
      </c>
      <c r="B126" t="s">
        <v>1048</v>
      </c>
      <c r="C126" s="579">
        <v>2.7879824009863501E-4</v>
      </c>
      <c r="D126" s="579">
        <v>2.5690700658928999E-2</v>
      </c>
      <c r="E126" s="579">
        <v>2.9954679251302199E-4</v>
      </c>
      <c r="F126" s="579">
        <v>2.7659130140587001E-4</v>
      </c>
      <c r="G126" s="579">
        <v>4.9513850162549197E-5</v>
      </c>
      <c r="H126" s="579">
        <v>6.11913219950233E-5</v>
      </c>
      <c r="I126" s="579">
        <v>2.2311425832428601E-4</v>
      </c>
      <c r="J126" s="579">
        <v>0.116033776070676</v>
      </c>
      <c r="K126">
        <v>-314314763.37739098</v>
      </c>
      <c r="L126">
        <v>-314314763.37739098</v>
      </c>
      <c r="M126">
        <v>-314314763.37739098</v>
      </c>
      <c r="N126">
        <v>520.06436944978304</v>
      </c>
    </row>
    <row r="127" spans="1:14" x14ac:dyDescent="0.15">
      <c r="A127">
        <v>104</v>
      </c>
      <c r="B127" t="s">
        <v>1049</v>
      </c>
      <c r="C127" s="579">
        <v>3.43447334276691E-4</v>
      </c>
      <c r="D127" s="579">
        <v>2.5920703608556198E-2</v>
      </c>
      <c r="E127" s="579">
        <v>2.9865530394602698E-4</v>
      </c>
      <c r="F127" s="579">
        <v>2.1277327993954499E-4</v>
      </c>
      <c r="G127" s="579">
        <v>2.84925974270077E-4</v>
      </c>
      <c r="H127" s="579">
        <v>-8.5074419681764495E-6</v>
      </c>
      <c r="I127" s="579">
        <v>3.8530660770439199E-4</v>
      </c>
      <c r="J127" s="579">
        <v>0.117141556515371</v>
      </c>
      <c r="K127">
        <v>-317315542.634426</v>
      </c>
      <c r="L127">
        <v>-317315542.634426</v>
      </c>
      <c r="M127">
        <v>-317315542.634426</v>
      </c>
      <c r="N127">
        <v>304.02166527401499</v>
      </c>
    </row>
    <row r="128" spans="1:14" x14ac:dyDescent="0.15">
      <c r="A128">
        <v>105</v>
      </c>
      <c r="B128" t="s">
        <v>1050</v>
      </c>
      <c r="C128" s="579">
        <v>3.5569281772413001E-4</v>
      </c>
      <c r="D128" s="579">
        <v>2.6004540950454801E-2</v>
      </c>
      <c r="E128" s="579">
        <v>2.6375541288373698E-4</v>
      </c>
      <c r="F128" s="579">
        <v>9.5765400980646502E-5</v>
      </c>
      <c r="G128" s="579">
        <v>1.8123565574429401E-4</v>
      </c>
      <c r="H128" s="579">
        <v>1.6107863565697399E-4</v>
      </c>
      <c r="I128" s="579">
        <v>2.0168899116153601E-4</v>
      </c>
      <c r="J128" s="579">
        <v>0.117770676777551</v>
      </c>
      <c r="K128">
        <v>-319019716.99674898</v>
      </c>
      <c r="L128">
        <v>-319019716.99674898</v>
      </c>
      <c r="M128">
        <v>-319019716.99674898</v>
      </c>
      <c r="N128">
        <v>583.92218682489397</v>
      </c>
    </row>
    <row r="129" spans="1:14" x14ac:dyDescent="0.15">
      <c r="A129">
        <v>106</v>
      </c>
      <c r="B129" t="s">
        <v>1051</v>
      </c>
      <c r="C129" s="579">
        <v>3.3508175795572101E-4</v>
      </c>
      <c r="D129" s="579">
        <v>2.5915289024752701E-2</v>
      </c>
      <c r="E129" s="579">
        <v>3.09438165816903E-4</v>
      </c>
      <c r="F129" s="579">
        <v>1.6690358477890099E-4</v>
      </c>
      <c r="G129" s="579">
        <v>2.0860728055352901E-4</v>
      </c>
      <c r="H129" s="579">
        <v>2.9213360490652502E-4</v>
      </c>
      <c r="I129" s="579">
        <v>4.1991862996927099E-5</v>
      </c>
      <c r="J129" s="579">
        <v>0.11736225682314499</v>
      </c>
      <c r="K129">
        <v>-317913380.32759202</v>
      </c>
      <c r="L129">
        <v>-317913380.32759202</v>
      </c>
      <c r="M129">
        <v>-317913380.32759202</v>
      </c>
      <c r="N129">
        <v>2794.8809232811</v>
      </c>
    </row>
    <row r="130" spans="1:14" x14ac:dyDescent="0.15">
      <c r="A130">
        <v>107</v>
      </c>
      <c r="B130" t="s">
        <v>1052</v>
      </c>
      <c r="C130" s="579">
        <v>3.0418970292752799E-4</v>
      </c>
      <c r="D130" s="579">
        <v>2.5743644480635899E-2</v>
      </c>
      <c r="E130" s="579">
        <v>3.1348716497926602E-4</v>
      </c>
      <c r="F130" s="579">
        <v>1.88172898755275E-4</v>
      </c>
      <c r="G130" s="579">
        <v>1.55796616854922E-4</v>
      </c>
      <c r="H130" s="579">
        <v>1.3971251347821099E-4</v>
      </c>
      <c r="I130" s="579">
        <v>1.7487721732225301E-4</v>
      </c>
      <c r="J130" s="579">
        <v>0.116399450645152</v>
      </c>
      <c r="K130">
        <v>-315305310.451199</v>
      </c>
      <c r="L130">
        <v>-315305310.451199</v>
      </c>
      <c r="M130">
        <v>-315305310.451199</v>
      </c>
      <c r="N130">
        <v>665.60671783024998</v>
      </c>
    </row>
    <row r="131" spans="1:14" x14ac:dyDescent="0.15">
      <c r="A131">
        <v>108</v>
      </c>
      <c r="B131" t="s">
        <v>1053</v>
      </c>
      <c r="C131" s="579">
        <v>3.1859483460661798E-4</v>
      </c>
      <c r="D131" s="579">
        <v>2.54794089871936E-2</v>
      </c>
      <c r="E131" s="579">
        <v>2.8272502493701399E-4</v>
      </c>
      <c r="F131" s="579">
        <v>1.14458730020518E-4</v>
      </c>
      <c r="G131" s="579">
        <v>2.8606733821759102E-4</v>
      </c>
      <c r="H131" s="579">
        <v>2.09006155773979E-4</v>
      </c>
      <c r="I131" s="579">
        <v>2.4543018088935302E-4</v>
      </c>
      <c r="J131" s="579">
        <v>0.115407901411307</v>
      </c>
      <c r="K131">
        <v>-312619380.77307397</v>
      </c>
      <c r="L131">
        <v>-312619380.77307397</v>
      </c>
      <c r="M131">
        <v>-312619380.77307397</v>
      </c>
      <c r="N131">
        <v>470.22701524771497</v>
      </c>
    </row>
    <row r="132" spans="1:14" x14ac:dyDescent="0.15">
      <c r="A132">
        <v>109</v>
      </c>
      <c r="B132" t="s">
        <v>1054</v>
      </c>
      <c r="C132" s="579">
        <v>3.4281519993492902E-4</v>
      </c>
      <c r="D132" s="579">
        <v>2.5381810660275402E-2</v>
      </c>
      <c r="E132" s="579">
        <v>3.42042735767064E-4</v>
      </c>
      <c r="F132" s="579">
        <v>1.26938738300529E-4</v>
      </c>
      <c r="G132" s="579">
        <v>1.8235189272678901E-4</v>
      </c>
      <c r="H132" s="579">
        <v>9.3898866292621501E-5</v>
      </c>
      <c r="I132" s="579">
        <v>1.3973392987866201E-4</v>
      </c>
      <c r="J132" s="579">
        <v>0.114725528544491</v>
      </c>
      <c r="K132">
        <v>-310770954.62138301</v>
      </c>
      <c r="L132">
        <v>-310770954.62138301</v>
      </c>
      <c r="M132">
        <v>-310770954.62138301</v>
      </c>
      <c r="N132">
        <v>821.02842626777999</v>
      </c>
    </row>
    <row r="133" spans="1:14" x14ac:dyDescent="0.15">
      <c r="A133">
        <v>110</v>
      </c>
      <c r="B133" t="s">
        <v>1055</v>
      </c>
      <c r="C133" s="579">
        <v>2.9654995386208303E-4</v>
      </c>
      <c r="D133" s="579">
        <v>2.5403396297517901E-2</v>
      </c>
      <c r="E133" s="579">
        <v>3.4275264939075399E-4</v>
      </c>
      <c r="F133" s="579">
        <v>9.3037798108978195E-5</v>
      </c>
      <c r="G133" s="579">
        <v>1.05283983806863E-4</v>
      </c>
      <c r="H133" s="579">
        <v>2.80164634525653E-4</v>
      </c>
      <c r="I133" s="579">
        <v>1.2038612857053099E-4</v>
      </c>
      <c r="J133" s="579">
        <v>0.114632126807119</v>
      </c>
      <c r="K133">
        <v>-310517946.006347</v>
      </c>
      <c r="L133">
        <v>-310517946.006347</v>
      </c>
      <c r="M133">
        <v>-310517946.006347</v>
      </c>
      <c r="N133">
        <v>952.20378101916594</v>
      </c>
    </row>
    <row r="134" spans="1:14" x14ac:dyDescent="0.15">
      <c r="A134">
        <v>111</v>
      </c>
      <c r="B134" t="s">
        <v>1056</v>
      </c>
      <c r="C134" s="579">
        <v>3.3280826835578001E-4</v>
      </c>
      <c r="D134" s="579">
        <v>2.5298476877538601E-2</v>
      </c>
      <c r="E134" s="579">
        <v>2.4671862429828298E-4</v>
      </c>
      <c r="F134" s="579">
        <v>4.2154935582306502E-5</v>
      </c>
      <c r="G134" s="579">
        <v>2.26369457642937E-4</v>
      </c>
      <c r="H134" s="579">
        <v>2.0039690677459401E-4</v>
      </c>
      <c r="I134" s="579">
        <v>2.3231567758324499E-4</v>
      </c>
      <c r="J134" s="579">
        <v>0.11424963596236599</v>
      </c>
      <c r="K134">
        <v>-309481846.66153997</v>
      </c>
      <c r="L134">
        <v>-309481846.66153997</v>
      </c>
      <c r="M134">
        <v>-309481846.66153997</v>
      </c>
      <c r="N134">
        <v>491.78616420076901</v>
      </c>
    </row>
    <row r="135" spans="1:14" x14ac:dyDescent="0.15">
      <c r="A135">
        <v>112</v>
      </c>
      <c r="B135" t="s">
        <v>1057</v>
      </c>
      <c r="C135" s="579">
        <v>3.27988818286415E-4</v>
      </c>
      <c r="D135" s="579">
        <v>2.4923109502412201E-2</v>
      </c>
      <c r="E135" s="579">
        <v>2.7307087614758898E-4</v>
      </c>
      <c r="F135" s="579">
        <v>1.21541403533396E-4</v>
      </c>
      <c r="G135" s="579">
        <v>1.4059281636883799E-4</v>
      </c>
      <c r="H135" s="579">
        <v>2.4596581218048401E-4</v>
      </c>
      <c r="I135" s="579">
        <v>2.1760768382850601E-4</v>
      </c>
      <c r="J135" s="579">
        <v>0.11285117746907999</v>
      </c>
      <c r="K135">
        <v>-305693672.51694697</v>
      </c>
      <c r="L135">
        <v>-305693672.51694697</v>
      </c>
      <c r="M135">
        <v>-305693672.51694697</v>
      </c>
      <c r="N135">
        <v>518.59923088937001</v>
      </c>
    </row>
    <row r="136" spans="1:14" x14ac:dyDescent="0.15">
      <c r="A136">
        <v>113</v>
      </c>
      <c r="B136" t="s">
        <v>1058</v>
      </c>
      <c r="C136" s="579">
        <v>3.3539501220244597E-4</v>
      </c>
      <c r="D136" s="579">
        <v>2.4844057839400999E-2</v>
      </c>
      <c r="E136" s="579">
        <v>3.2048974859682599E-4</v>
      </c>
      <c r="F136" s="579">
        <v>1.6793378225959301E-4</v>
      </c>
      <c r="G136" s="579">
        <v>1.7907935864859399E-4</v>
      </c>
      <c r="H136" s="579">
        <v>1.5078794787784299E-4</v>
      </c>
      <c r="I136" s="579">
        <v>1.1270708481659401E-4</v>
      </c>
      <c r="J136" s="579">
        <v>0.11207827272119</v>
      </c>
      <c r="K136">
        <v>-303600011.67806798</v>
      </c>
      <c r="L136">
        <v>-303600011.67806798</v>
      </c>
      <c r="M136">
        <v>-303600011.67806798</v>
      </c>
      <c r="N136">
        <v>994.42082903281801</v>
      </c>
    </row>
    <row r="137" spans="1:14" x14ac:dyDescent="0.15">
      <c r="A137">
        <v>114</v>
      </c>
      <c r="B137" t="s">
        <v>1059</v>
      </c>
      <c r="C137" s="579">
        <v>3.49594821912548E-4</v>
      </c>
      <c r="D137" s="579">
        <v>2.4654443782869E-2</v>
      </c>
      <c r="E137" s="579">
        <v>3.0769801558083E-4</v>
      </c>
      <c r="F137" s="579">
        <v>1.98123301219707E-4</v>
      </c>
      <c r="G137" s="579">
        <v>2.8332197641946802E-4</v>
      </c>
      <c r="H137" s="579">
        <v>2.4692563035653498E-4</v>
      </c>
      <c r="I137" s="579">
        <v>1.8802366649270599E-4</v>
      </c>
      <c r="J137" s="579">
        <v>0.11137522659328</v>
      </c>
      <c r="K137">
        <v>-301695585.35652298</v>
      </c>
      <c r="L137">
        <v>-301695585.35652298</v>
      </c>
      <c r="M137">
        <v>-301695585.35652298</v>
      </c>
      <c r="N137">
        <v>592.34685011102704</v>
      </c>
    </row>
    <row r="138" spans="1:14" x14ac:dyDescent="0.15">
      <c r="A138">
        <v>115</v>
      </c>
      <c r="B138" t="s">
        <v>1060</v>
      </c>
      <c r="C138" s="579">
        <v>3.2152142962015701E-4</v>
      </c>
      <c r="D138" s="579">
        <v>2.45494576724745E-2</v>
      </c>
      <c r="E138" s="579">
        <v>2.80112938558521E-4</v>
      </c>
      <c r="F138" s="579">
        <v>1.4841364147041199E-4</v>
      </c>
      <c r="G138" s="579">
        <v>2.8606517163132998E-4</v>
      </c>
      <c r="H138" s="579">
        <v>5.14308322753118E-5</v>
      </c>
      <c r="I138" s="579">
        <v>3.14254235249488E-4</v>
      </c>
      <c r="J138" s="579">
        <v>0.111015458151267</v>
      </c>
      <c r="K138">
        <v>-300721036.94009203</v>
      </c>
      <c r="L138">
        <v>-300721036.94009203</v>
      </c>
      <c r="M138">
        <v>-300721036.94009203</v>
      </c>
      <c r="N138">
        <v>353.26638657115001</v>
      </c>
    </row>
    <row r="139" spans="1:14" x14ac:dyDescent="0.15">
      <c r="A139">
        <v>116</v>
      </c>
      <c r="B139" t="s">
        <v>1061</v>
      </c>
      <c r="C139" s="579">
        <v>2.7983497890327102E-4</v>
      </c>
      <c r="D139" s="579">
        <v>2.4433802227195298E-2</v>
      </c>
      <c r="E139" s="579">
        <v>2.6560055847429698E-4</v>
      </c>
      <c r="F139" s="579">
        <v>7.8599605225678999E-6</v>
      </c>
      <c r="G139" s="579">
        <v>1.9610939394448099E-4</v>
      </c>
      <c r="H139" s="579">
        <v>2.9280141481879198E-5</v>
      </c>
      <c r="I139" s="579">
        <v>2.8942088850065698E-4</v>
      </c>
      <c r="J139" s="579">
        <v>0.110282193659692</v>
      </c>
      <c r="K139">
        <v>-298734754.47159803</v>
      </c>
      <c r="L139">
        <v>-298734754.47159803</v>
      </c>
      <c r="M139">
        <v>-298734754.47159803</v>
      </c>
      <c r="N139">
        <v>381.04434766615702</v>
      </c>
    </row>
    <row r="140" spans="1:14" x14ac:dyDescent="0.15">
      <c r="A140">
        <v>117</v>
      </c>
      <c r="B140" t="s">
        <v>1062</v>
      </c>
      <c r="C140" s="579">
        <v>3.12007073275329E-4</v>
      </c>
      <c r="D140" s="579">
        <v>2.4441721347059901E-2</v>
      </c>
      <c r="E140" s="579">
        <v>2.8857038932818502E-4</v>
      </c>
      <c r="F140" s="579">
        <v>1.6101178780654501E-4</v>
      </c>
      <c r="G140" s="579">
        <v>2.7312140263689998E-4</v>
      </c>
      <c r="H140" s="579">
        <v>2.5003101998287001E-5</v>
      </c>
      <c r="I140" s="579">
        <v>1.2378969325740899E-4</v>
      </c>
      <c r="J140" s="579">
        <v>0.11036184859288101</v>
      </c>
      <c r="K140">
        <v>-298950525.45074701</v>
      </c>
      <c r="L140">
        <v>-298950525.45074701</v>
      </c>
      <c r="M140">
        <v>-298950525.45074701</v>
      </c>
      <c r="N140">
        <v>891.52695744543098</v>
      </c>
    </row>
    <row r="141" spans="1:14" x14ac:dyDescent="0.15">
      <c r="A141">
        <v>118</v>
      </c>
      <c r="B141" t="s">
        <v>1063</v>
      </c>
      <c r="C141" s="579">
        <v>3.6442610927008403E-4</v>
      </c>
      <c r="D141" s="579">
        <v>2.4624059097436701E-2</v>
      </c>
      <c r="E141" s="579">
        <v>2.99530449839778E-4</v>
      </c>
      <c r="F141" s="579">
        <v>1.4948831503555301E-4</v>
      </c>
      <c r="G141" s="579">
        <v>1.8099266654020001E-4</v>
      </c>
      <c r="H141" s="579">
        <v>2.1774067978113599E-4</v>
      </c>
      <c r="I141" s="579">
        <v>9.5984366467140198E-5</v>
      </c>
      <c r="J141" s="579">
        <v>0.111425547740368</v>
      </c>
      <c r="K141">
        <v>-301831896.35126501</v>
      </c>
      <c r="L141">
        <v>-301831896.35126501</v>
      </c>
      <c r="M141">
        <v>-301831896.35126501</v>
      </c>
      <c r="N141">
        <v>1160.8718361287999</v>
      </c>
    </row>
    <row r="142" spans="1:14" x14ac:dyDescent="0.15">
      <c r="A142">
        <v>119</v>
      </c>
      <c r="B142" t="s">
        <v>1064</v>
      </c>
      <c r="C142" s="579">
        <v>3.30339809221314E-4</v>
      </c>
      <c r="D142" s="579">
        <v>2.4786036354105499E-2</v>
      </c>
      <c r="E142" s="579">
        <v>3.1381033008936099E-4</v>
      </c>
      <c r="F142" s="579">
        <v>1.40252140149944E-4</v>
      </c>
      <c r="G142" s="579">
        <v>7.1881148158660997E-5</v>
      </c>
      <c r="H142" s="579">
        <v>2.7968241988082001E-4</v>
      </c>
      <c r="I142" s="579">
        <v>1.8681546206135899E-4</v>
      </c>
      <c r="J142" s="579">
        <v>0.112202260609401</v>
      </c>
      <c r="K142">
        <v>-303935872.70978302</v>
      </c>
      <c r="L142">
        <v>-303935872.70978302</v>
      </c>
      <c r="M142">
        <v>-303935872.70978302</v>
      </c>
      <c r="N142">
        <v>600.60478598152201</v>
      </c>
    </row>
    <row r="143" spans="1:14" x14ac:dyDescent="0.15">
      <c r="A143">
        <v>120</v>
      </c>
      <c r="B143" t="s">
        <v>1065</v>
      </c>
      <c r="C143" s="579">
        <v>2.7886425976151702E-4</v>
      </c>
      <c r="D143" s="579">
        <v>2.48417418170589E-2</v>
      </c>
      <c r="E143" s="579">
        <v>2.7829809145213201E-4</v>
      </c>
      <c r="F143" s="579">
        <v>8.6266085017509001E-5</v>
      </c>
      <c r="G143" s="579">
        <v>3.1366440170500201E-4</v>
      </c>
      <c r="H143" s="579">
        <v>2.00555874081476E-4</v>
      </c>
      <c r="I143" s="579">
        <v>2.6882757971789599E-4</v>
      </c>
      <c r="J143" s="579">
        <v>0.11209600220889999</v>
      </c>
      <c r="K143">
        <v>-303648037.691899</v>
      </c>
      <c r="L143">
        <v>-303648037.691899</v>
      </c>
      <c r="M143">
        <v>-303648037.691899</v>
      </c>
      <c r="N143">
        <v>416.98103418753499</v>
      </c>
    </row>
    <row r="144" spans="1:14" x14ac:dyDescent="0.15">
      <c r="A144">
        <v>121</v>
      </c>
      <c r="B144" t="s">
        <v>1066</v>
      </c>
      <c r="C144" s="579">
        <v>3.1255044105247301E-4</v>
      </c>
      <c r="D144" s="579">
        <v>2.4585434015457298E-2</v>
      </c>
      <c r="E144" s="579">
        <v>2.9664896426499299E-4</v>
      </c>
      <c r="F144" s="579">
        <v>2.1870452299464901E-4</v>
      </c>
      <c r="G144" s="579">
        <v>1.0581031431814101E-4</v>
      </c>
      <c r="H144" s="579">
        <v>1.6536430596412899E-4</v>
      </c>
      <c r="I144" s="579">
        <v>2.4094881385207701E-4</v>
      </c>
      <c r="J144" s="579">
        <v>0.11090704061910001</v>
      </c>
      <c r="K144">
        <v>-300427353.22037703</v>
      </c>
      <c r="L144">
        <v>-300427353.22037703</v>
      </c>
      <c r="M144">
        <v>-300427353.22037703</v>
      </c>
      <c r="N144">
        <v>460.29295121239898</v>
      </c>
    </row>
    <row r="145" spans="1:14" x14ac:dyDescent="0.15">
      <c r="A145">
        <v>122</v>
      </c>
      <c r="B145" t="s">
        <v>1067</v>
      </c>
      <c r="C145" s="579">
        <v>3.1642556020502902E-4</v>
      </c>
      <c r="D145" s="579">
        <v>2.4321573549588499E-2</v>
      </c>
      <c r="E145" s="579">
        <v>3.2686040027242002E-4</v>
      </c>
      <c r="F145" s="579">
        <v>3.2905138263722498E-4</v>
      </c>
      <c r="G145" s="579">
        <v>3.2323387943899502E-4</v>
      </c>
      <c r="H145" s="579">
        <v>1.7927502533422499E-4</v>
      </c>
      <c r="I145" s="579">
        <v>1.74656677841276E-4</v>
      </c>
      <c r="J145" s="579">
        <v>0.109871083841041</v>
      </c>
      <c r="K145">
        <v>-297621131.440898</v>
      </c>
      <c r="L145">
        <v>-297621131.440898</v>
      </c>
      <c r="M145">
        <v>-297621131.440898</v>
      </c>
      <c r="N145">
        <v>629.06889790317302</v>
      </c>
    </row>
    <row r="146" spans="1:14" x14ac:dyDescent="0.15">
      <c r="A146">
        <v>123</v>
      </c>
      <c r="B146" t="s">
        <v>1068</v>
      </c>
      <c r="C146" s="579">
        <v>3.1012930718270101E-4</v>
      </c>
      <c r="D146" s="579">
        <v>2.40588947273205E-2</v>
      </c>
      <c r="E146" s="579">
        <v>3.1725109633384699E-4</v>
      </c>
      <c r="F146" s="579">
        <v>1.22309098584456E-4</v>
      </c>
      <c r="G146" s="579">
        <v>1.2352873878837599E-4</v>
      </c>
      <c r="H146" s="579">
        <v>5.6136089213762597E-5</v>
      </c>
      <c r="I146" s="579">
        <v>1.78599230758707E-4</v>
      </c>
      <c r="J146" s="579">
        <v>0.108541797518605</v>
      </c>
      <c r="K146">
        <v>-294020332.34561801</v>
      </c>
      <c r="L146">
        <v>-294020332.34561801</v>
      </c>
      <c r="M146">
        <v>-294020332.34561801</v>
      </c>
      <c r="N146">
        <v>607.73944578321903</v>
      </c>
    </row>
    <row r="147" spans="1:14" x14ac:dyDescent="0.15">
      <c r="A147">
        <v>124</v>
      </c>
      <c r="B147" t="s">
        <v>1069</v>
      </c>
      <c r="C147" s="579">
        <v>3.87411804277104E-4</v>
      </c>
      <c r="D147" s="579">
        <v>2.3675886006793299E-2</v>
      </c>
      <c r="E147" s="579">
        <v>2.6490397043774598E-4</v>
      </c>
      <c r="F147" s="579">
        <v>8.5173496896221197E-5</v>
      </c>
      <c r="G147" s="579">
        <v>2.55733538396696E-4</v>
      </c>
      <c r="H147" s="579">
        <v>3.8572916333859502E-5</v>
      </c>
      <c r="I147" s="579">
        <v>2.2670119040138801E-4</v>
      </c>
      <c r="J147" s="579">
        <v>0.10695774122072201</v>
      </c>
      <c r="K147">
        <v>-289729406.91592002</v>
      </c>
      <c r="L147">
        <v>-289729406.91592002</v>
      </c>
      <c r="M147">
        <v>-289729406.91592002</v>
      </c>
      <c r="N147">
        <v>471.80052751971601</v>
      </c>
    </row>
    <row r="148" spans="1:14" x14ac:dyDescent="0.15">
      <c r="A148">
        <v>125</v>
      </c>
      <c r="B148" t="s">
        <v>1070</v>
      </c>
      <c r="C148" s="579">
        <v>3.2232409883095901E-4</v>
      </c>
      <c r="D148" s="579">
        <v>2.3454436218824599E-2</v>
      </c>
      <c r="E148" s="579">
        <v>2.7846967984219501E-4</v>
      </c>
      <c r="F148" s="579">
        <v>2.6414577590982502E-4</v>
      </c>
      <c r="G148" s="579">
        <v>2.4788105288321401E-4</v>
      </c>
      <c r="H148" s="579">
        <v>3.36474670291892E-4</v>
      </c>
      <c r="I148" s="579">
        <v>2.2125912602131799E-4</v>
      </c>
      <c r="J148" s="579">
        <v>0.10584836204106</v>
      </c>
      <c r="K148">
        <v>-286724296.97156298</v>
      </c>
      <c r="L148">
        <v>-286724296.97156298</v>
      </c>
      <c r="M148">
        <v>-286724296.97156298</v>
      </c>
      <c r="N148">
        <v>478.39094343553398</v>
      </c>
    </row>
    <row r="149" spans="1:14" x14ac:dyDescent="0.15">
      <c r="A149">
        <v>126</v>
      </c>
      <c r="B149" t="s">
        <v>1071</v>
      </c>
      <c r="C149" s="579">
        <v>3.35933709659328E-4</v>
      </c>
      <c r="D149" s="579">
        <v>2.3471844583525799E-2</v>
      </c>
      <c r="E149" s="579">
        <v>3.0299511733355799E-4</v>
      </c>
      <c r="F149" s="579">
        <v>2.6966980791927499E-4</v>
      </c>
      <c r="G149" s="579">
        <v>1.69353676325278E-4</v>
      </c>
      <c r="H149" s="579">
        <v>2.09382928129829E-4</v>
      </c>
      <c r="I149" s="579">
        <v>3.0703526678254797E-4</v>
      </c>
      <c r="J149" s="579">
        <v>0.106023305727083</v>
      </c>
      <c r="K149">
        <v>-287198188.15341198</v>
      </c>
      <c r="L149">
        <v>-287198188.15341198</v>
      </c>
      <c r="M149">
        <v>-287198188.15341198</v>
      </c>
      <c r="N149">
        <v>345.31311936283799</v>
      </c>
    </row>
    <row r="150" spans="1:14" x14ac:dyDescent="0.15">
      <c r="A150">
        <v>127</v>
      </c>
      <c r="B150" t="s">
        <v>1072</v>
      </c>
      <c r="C150" s="579">
        <v>3.5751548535579498E-4</v>
      </c>
      <c r="D150" s="579">
        <v>2.3921869280752101E-2</v>
      </c>
      <c r="E150" s="579">
        <v>3.0636506544525502E-4</v>
      </c>
      <c r="F150" s="579">
        <v>4.6928204872768302E-5</v>
      </c>
      <c r="G150" s="579">
        <v>1.3121267377146499E-4</v>
      </c>
      <c r="H150" s="579">
        <v>1.47726430089256E-4</v>
      </c>
      <c r="I150" s="579">
        <v>1.7765188389989999E-4</v>
      </c>
      <c r="J150" s="579">
        <v>0.10840848590494299</v>
      </c>
      <c r="K150">
        <v>-293659215.00786698</v>
      </c>
      <c r="L150">
        <v>-293659215.00786698</v>
      </c>
      <c r="M150">
        <v>-293659215.00786698</v>
      </c>
      <c r="N150">
        <v>610.22986936646703</v>
      </c>
    </row>
    <row r="151" spans="1:14" x14ac:dyDescent="0.15">
      <c r="A151">
        <v>128</v>
      </c>
      <c r="B151" t="s">
        <v>1073</v>
      </c>
      <c r="C151" s="579">
        <v>3.1369605491444297E-4</v>
      </c>
      <c r="D151" s="579">
        <v>2.45311099990165E-2</v>
      </c>
      <c r="E151" s="579">
        <v>3.1736736400834602E-4</v>
      </c>
      <c r="F151" s="579">
        <v>1.2811703197541599E-4</v>
      </c>
      <c r="G151" s="579">
        <v>3.0638251746083602E-4</v>
      </c>
      <c r="H151" s="579">
        <v>1.34685441412638E-4</v>
      </c>
      <c r="I151" s="579">
        <v>9.8747279496481496E-5</v>
      </c>
      <c r="J151" s="579">
        <v>0.110928476596262</v>
      </c>
      <c r="K151">
        <v>-300485419.45175999</v>
      </c>
      <c r="L151">
        <v>-300485419.45175999</v>
      </c>
      <c r="M151">
        <v>-300485419.45175999</v>
      </c>
      <c r="N151">
        <v>1123.3572931010699</v>
      </c>
    </row>
    <row r="152" spans="1:14" x14ac:dyDescent="0.15">
      <c r="A152">
        <v>129</v>
      </c>
      <c r="B152" t="s">
        <v>1074</v>
      </c>
      <c r="C152" s="579">
        <v>3.0664543700318898E-4</v>
      </c>
      <c r="D152" s="579">
        <v>2.47742321225254E-2</v>
      </c>
      <c r="E152" s="579">
        <v>3.0214926212909001E-4</v>
      </c>
      <c r="F152" s="579">
        <v>2.2382161597307899E-4</v>
      </c>
      <c r="G152" s="579">
        <v>7.9246971215270404E-5</v>
      </c>
      <c r="H152" s="579">
        <v>1.3651207754161E-4</v>
      </c>
      <c r="I152" s="579">
        <v>1.2281405107053201E-4</v>
      </c>
      <c r="J152" s="579">
        <v>0.112021959131587</v>
      </c>
      <c r="K152">
        <v>-303447468.22744203</v>
      </c>
      <c r="L152">
        <v>-303447468.22744203</v>
      </c>
      <c r="M152">
        <v>-303447468.22744203</v>
      </c>
      <c r="N152">
        <v>912.12656984381204</v>
      </c>
    </row>
    <row r="153" spans="1:14" x14ac:dyDescent="0.15">
      <c r="A153">
        <v>130</v>
      </c>
      <c r="B153" t="s">
        <v>1075</v>
      </c>
      <c r="C153" s="579">
        <v>2.8499808428853E-4</v>
      </c>
      <c r="D153" s="579">
        <v>2.4611711669884399E-2</v>
      </c>
      <c r="E153" s="579">
        <v>2.8686820093947298E-4</v>
      </c>
      <c r="F153" s="579">
        <v>1.6787876706521901E-4</v>
      </c>
      <c r="G153" s="579">
        <v>1.3726246566403099E-4</v>
      </c>
      <c r="H153" s="579">
        <v>2.1567501201683501E-4</v>
      </c>
      <c r="I153" s="579">
        <v>2.0800404041857701E-4</v>
      </c>
      <c r="J153" s="579">
        <v>0.111295478692035</v>
      </c>
      <c r="K153">
        <v>-301479562.54352301</v>
      </c>
      <c r="L153">
        <v>-301479562.54352301</v>
      </c>
      <c r="M153">
        <v>-301479562.54352301</v>
      </c>
      <c r="N153">
        <v>535.06402312219404</v>
      </c>
    </row>
    <row r="154" spans="1:14" x14ac:dyDescent="0.15">
      <c r="A154">
        <v>131</v>
      </c>
      <c r="B154" t="s">
        <v>1076</v>
      </c>
      <c r="C154" s="579">
        <v>2.86525122903933E-4</v>
      </c>
      <c r="D154" s="579">
        <v>2.3967354987271601E-2</v>
      </c>
      <c r="E154" s="579">
        <v>2.6246731617416498E-4</v>
      </c>
      <c r="F154" s="579">
        <v>1.7844176606125899E-4</v>
      </c>
      <c r="G154" s="579">
        <v>2.48350317358835E-4</v>
      </c>
      <c r="H154" s="579">
        <v>2.16566931030784E-4</v>
      </c>
      <c r="I154" s="579">
        <v>1.4909158457882099E-4</v>
      </c>
      <c r="J154" s="579">
        <v>0.108327411703822</v>
      </c>
      <c r="K154">
        <v>-293439599.485524</v>
      </c>
      <c r="L154">
        <v>-293439599.485524</v>
      </c>
      <c r="M154">
        <v>-293439599.485524</v>
      </c>
      <c r="N154">
        <v>726.58300607538501</v>
      </c>
    </row>
    <row r="155" spans="1:14" x14ac:dyDescent="0.15">
      <c r="A155">
        <v>132</v>
      </c>
      <c r="B155" t="s">
        <v>1077</v>
      </c>
      <c r="C155" s="579">
        <v>3.2424857881142898E-4</v>
      </c>
      <c r="D155" s="579">
        <v>2.37439351475245E-2</v>
      </c>
      <c r="E155" s="579">
        <v>2.5180502064815698E-4</v>
      </c>
      <c r="F155" s="579">
        <v>1.6658306085590499E-4</v>
      </c>
      <c r="G155" s="579">
        <v>3.2621193574443698E-4</v>
      </c>
      <c r="H155" s="579">
        <v>8.3460464690460201E-5</v>
      </c>
      <c r="I155" s="579">
        <v>1.17802916645753E-4</v>
      </c>
      <c r="J155" s="579">
        <v>0.107370388879585</v>
      </c>
      <c r="K155">
        <v>-290847195.68093002</v>
      </c>
      <c r="L155">
        <v>-290847195.68093002</v>
      </c>
      <c r="M155">
        <v>-290847195.68093002</v>
      </c>
      <c r="N155">
        <v>911.44083641375096</v>
      </c>
    </row>
    <row r="156" spans="1:14" x14ac:dyDescent="0.15">
      <c r="A156">
        <v>133</v>
      </c>
      <c r="B156" t="s">
        <v>1078</v>
      </c>
      <c r="C156" s="579">
        <v>3.48562226006437E-4</v>
      </c>
      <c r="D156" s="579">
        <v>2.3667704759425801E-2</v>
      </c>
      <c r="E156" s="579">
        <v>3.3258885965682102E-4</v>
      </c>
      <c r="F156" s="579">
        <v>1.10213548184622E-4</v>
      </c>
      <c r="G156" s="579">
        <v>2.1771222252878699E-4</v>
      </c>
      <c r="H156" s="579">
        <v>3.1370841333831101E-4</v>
      </c>
      <c r="I156" s="579">
        <v>2.0312932558674401E-4</v>
      </c>
      <c r="J156" s="579">
        <v>0.106806115111742</v>
      </c>
      <c r="K156">
        <v>-289318678.88327497</v>
      </c>
      <c r="L156">
        <v>-289318678.88327497</v>
      </c>
      <c r="M156">
        <v>-289318678.88327497</v>
      </c>
      <c r="N156">
        <v>525.80352346088102</v>
      </c>
    </row>
    <row r="157" spans="1:14" x14ac:dyDescent="0.15">
      <c r="A157">
        <v>134</v>
      </c>
      <c r="B157" t="s">
        <v>1079</v>
      </c>
      <c r="C157" s="579">
        <v>3.0498762171513299E-4</v>
      </c>
      <c r="D157" s="579">
        <v>2.3711663196286901E-2</v>
      </c>
      <c r="E157" s="579">
        <v>3.4484927557137598E-4</v>
      </c>
      <c r="F157" s="579">
        <v>1.8641589545023899E-4</v>
      </c>
      <c r="G157" s="579">
        <v>2.37253326242954E-4</v>
      </c>
      <c r="H157" s="579">
        <v>9.8959815248444706E-5</v>
      </c>
      <c r="I157" s="579">
        <v>1.96646284280785E-4</v>
      </c>
      <c r="J157" s="579">
        <v>0.106970462839741</v>
      </c>
      <c r="K157">
        <v>-289763867.50840402</v>
      </c>
      <c r="L157">
        <v>-289763867.50840402</v>
      </c>
      <c r="M157">
        <v>-289763867.50840402</v>
      </c>
      <c r="N157">
        <v>543.97398471562803</v>
      </c>
    </row>
    <row r="158" spans="1:14" x14ac:dyDescent="0.15">
      <c r="A158">
        <v>135</v>
      </c>
      <c r="B158" t="s">
        <v>1080</v>
      </c>
      <c r="C158" s="579">
        <v>2.90774147565328E-4</v>
      </c>
      <c r="D158" s="579">
        <v>2.3767706230959799E-2</v>
      </c>
      <c r="E158" s="579">
        <v>3.0732315696480002E-4</v>
      </c>
      <c r="F158" s="579">
        <v>4.0309288609192497E-5</v>
      </c>
      <c r="G158" s="579">
        <v>2.20095784623595E-4</v>
      </c>
      <c r="H158" s="579">
        <v>6.91700506981846E-5</v>
      </c>
      <c r="I158" s="579">
        <v>3.1023765413432298E-4</v>
      </c>
      <c r="J158" s="579">
        <v>0.107384778543878</v>
      </c>
      <c r="K158">
        <v>-290886174.70997298</v>
      </c>
      <c r="L158">
        <v>-290886174.70997298</v>
      </c>
      <c r="M158">
        <v>-290886174.70997298</v>
      </c>
      <c r="N158">
        <v>346.13715360735603</v>
      </c>
    </row>
    <row r="159" spans="1:14" x14ac:dyDescent="0.15">
      <c r="A159">
        <v>136</v>
      </c>
      <c r="B159" t="s">
        <v>1081</v>
      </c>
      <c r="C159" s="579">
        <v>2.98141549771932E-4</v>
      </c>
      <c r="D159" s="579">
        <v>2.36906688320268E-2</v>
      </c>
      <c r="E159" s="579">
        <v>3.20726080843155E-4</v>
      </c>
      <c r="F159" s="579">
        <v>1.90422921236586E-4</v>
      </c>
      <c r="G159" s="579">
        <v>2.2091024293023701E-4</v>
      </c>
      <c r="H159" s="579">
        <v>1.8587080209020001E-4</v>
      </c>
      <c r="I159" s="579">
        <v>1.7855835616382499E-4</v>
      </c>
      <c r="J159" s="579">
        <v>0.10713138608657501</v>
      </c>
      <c r="K159">
        <v>-290199779.82603699</v>
      </c>
      <c r="L159">
        <v>-290199779.82603699</v>
      </c>
      <c r="M159">
        <v>-290199779.82603699</v>
      </c>
      <c r="N159">
        <v>599.97968388711604</v>
      </c>
    </row>
    <row r="160" spans="1:14" x14ac:dyDescent="0.15">
      <c r="A160">
        <v>137</v>
      </c>
      <c r="B160" t="s">
        <v>1082</v>
      </c>
      <c r="C160" s="579">
        <v>3.2785798793829397E-4</v>
      </c>
      <c r="D160" s="579">
        <v>2.3719287506526701E-2</v>
      </c>
      <c r="E160" s="579">
        <v>3.2616934686933698E-4</v>
      </c>
      <c r="F160" s="579">
        <v>2.2922301209401199E-4</v>
      </c>
      <c r="G160" s="579">
        <v>5.9457506555869703E-5</v>
      </c>
      <c r="H160" s="579">
        <v>1.2509307247670501E-4</v>
      </c>
      <c r="I160" s="579">
        <v>1.06421590657171E-4</v>
      </c>
      <c r="J160" s="579">
        <v>0.106956714040478</v>
      </c>
      <c r="K160">
        <v>-289726624.46820098</v>
      </c>
      <c r="L160">
        <v>-289726624.46820098</v>
      </c>
      <c r="M160">
        <v>-289726624.46820098</v>
      </c>
      <c r="N160">
        <v>1005.02833475803</v>
      </c>
    </row>
    <row r="161" spans="1:14" x14ac:dyDescent="0.15">
      <c r="A161">
        <v>138</v>
      </c>
      <c r="B161" t="s">
        <v>1083</v>
      </c>
      <c r="C161" s="579">
        <v>3.4060431607958101E-4</v>
      </c>
      <c r="D161" s="579">
        <v>2.38185578379994E-2</v>
      </c>
      <c r="E161" s="579">
        <v>2.6535533285533699E-4</v>
      </c>
      <c r="F161" s="579">
        <v>6.4800379688146703E-5</v>
      </c>
      <c r="G161" s="579">
        <v>1.9704622463386E-4</v>
      </c>
      <c r="H161" s="579">
        <v>1.4042387427411801E-4</v>
      </c>
      <c r="I161" s="579">
        <v>9.3433528299307998E-5</v>
      </c>
      <c r="J161" s="579">
        <v>0.10773237533001701</v>
      </c>
      <c r="K161">
        <v>-291827752.28579497</v>
      </c>
      <c r="L161">
        <v>-291827752.28579497</v>
      </c>
      <c r="M161">
        <v>-291827752.28579497</v>
      </c>
      <c r="N161">
        <v>1153.0376438841499</v>
      </c>
    </row>
    <row r="162" spans="1:14" x14ac:dyDescent="0.15">
      <c r="A162">
        <v>139</v>
      </c>
      <c r="B162" t="s">
        <v>1084</v>
      </c>
      <c r="C162" s="579">
        <v>3.6246382084934497E-4</v>
      </c>
      <c r="D162" s="579">
        <v>2.3879731521693801E-2</v>
      </c>
      <c r="E162" s="579">
        <v>2.96384171308565E-4</v>
      </c>
      <c r="F162" s="579">
        <v>1.4686642408864999E-4</v>
      </c>
      <c r="G162" s="579">
        <v>3.7745885226306199E-4</v>
      </c>
      <c r="H162" s="579">
        <v>2.3204749784242699E-4</v>
      </c>
      <c r="I162" s="579">
        <v>1.7053529425400699E-4</v>
      </c>
      <c r="J162" s="579">
        <v>0.107947085075892</v>
      </c>
      <c r="K162">
        <v>-292409362.617329</v>
      </c>
      <c r="L162">
        <v>-292409362.617329</v>
      </c>
      <c r="M162">
        <v>-292409362.617329</v>
      </c>
      <c r="N162">
        <v>632.98970191535898</v>
      </c>
    </row>
    <row r="163" spans="1:14" x14ac:dyDescent="0.15">
      <c r="A163">
        <v>140</v>
      </c>
      <c r="B163" t="s">
        <v>1085</v>
      </c>
      <c r="C163" s="579">
        <v>3.2191051360309101E-4</v>
      </c>
      <c r="D163" s="579">
        <v>2.3958754910065098E-2</v>
      </c>
      <c r="E163" s="579">
        <v>3.2011924676656801E-4</v>
      </c>
      <c r="F163" s="579">
        <v>2.7631186368487102E-4</v>
      </c>
      <c r="G163" s="579">
        <v>3.3358397553099201E-4</v>
      </c>
      <c r="H163" s="579">
        <v>6.6334009803965805E-5</v>
      </c>
      <c r="I163" s="579">
        <v>8.99046301582841E-5</v>
      </c>
      <c r="J163" s="579">
        <v>0.108170379869897</v>
      </c>
      <c r="K163">
        <v>-293014228.31004101</v>
      </c>
      <c r="L163">
        <v>-293014228.31004101</v>
      </c>
      <c r="M163">
        <v>-293014228.31004101</v>
      </c>
      <c r="N163">
        <v>1203.168064642</v>
      </c>
    </row>
    <row r="164" spans="1:14" x14ac:dyDescent="0.15">
      <c r="A164">
        <v>141</v>
      </c>
      <c r="B164" t="s">
        <v>1086</v>
      </c>
      <c r="C164" s="579">
        <v>3.3157408077520999E-4</v>
      </c>
      <c r="D164" s="579">
        <v>2.3813809312630999E-2</v>
      </c>
      <c r="E164" s="579">
        <v>2.8685235038215502E-4</v>
      </c>
      <c r="F164" s="579">
        <v>6.2368880908236706E-5</v>
      </c>
      <c r="G164" s="579">
        <v>2.30267641801452E-4</v>
      </c>
      <c r="H164" s="579">
        <v>2.3688988735920299E-4</v>
      </c>
      <c r="I164" s="579">
        <v>2.30035437392932E-4</v>
      </c>
      <c r="J164" s="579">
        <v>0.10815029029138699</v>
      </c>
      <c r="K164">
        <v>-292959809.231996</v>
      </c>
      <c r="L164">
        <v>-292959809.231996</v>
      </c>
      <c r="M164">
        <v>-292959809.231996</v>
      </c>
      <c r="N164">
        <v>470.14621537050903</v>
      </c>
    </row>
    <row r="165" spans="1:14" x14ac:dyDescent="0.15">
      <c r="A165">
        <v>142</v>
      </c>
      <c r="B165" t="s">
        <v>1087</v>
      </c>
      <c r="C165" s="579">
        <v>3.4096752965925798E-4</v>
      </c>
      <c r="D165" s="579">
        <v>2.3561371734210398E-2</v>
      </c>
      <c r="E165" s="579">
        <v>2.81926528576366E-4</v>
      </c>
      <c r="F165" s="579">
        <v>1.84426524687236E-4</v>
      </c>
      <c r="G165" s="579">
        <v>1.6070000502837599E-4</v>
      </c>
      <c r="H165" s="579">
        <v>1.4469447853190001E-4</v>
      </c>
      <c r="I165" s="579">
        <v>2.28865640347516E-4</v>
      </c>
      <c r="J165" s="579">
        <v>0.106833403663291</v>
      </c>
      <c r="K165">
        <v>-289392598.69277799</v>
      </c>
      <c r="L165">
        <v>-289392598.69277799</v>
      </c>
      <c r="M165">
        <v>-289392598.69277799</v>
      </c>
      <c r="N165">
        <v>466.79529308581601</v>
      </c>
    </row>
    <row r="166" spans="1:14" x14ac:dyDescent="0.15">
      <c r="A166">
        <v>143</v>
      </c>
      <c r="B166" t="s">
        <v>1088</v>
      </c>
      <c r="C166" s="579">
        <v>3.7938239503168498E-4</v>
      </c>
      <c r="D166" s="579">
        <v>2.3343131806421401E-2</v>
      </c>
      <c r="E166" s="579">
        <v>2.5260065399297399E-4</v>
      </c>
      <c r="F166" s="579">
        <v>1.80527912538513E-4</v>
      </c>
      <c r="G166" s="579">
        <v>9.2999986597631007E-5</v>
      </c>
      <c r="H166" s="579">
        <v>3.24051605259736E-4</v>
      </c>
      <c r="I166" s="579">
        <v>9.0832795937409501E-5</v>
      </c>
      <c r="J166" s="579">
        <v>0.105623061979078</v>
      </c>
      <c r="K166">
        <v>-286113999.36625302</v>
      </c>
      <c r="L166">
        <v>-286113999.36625302</v>
      </c>
      <c r="M166">
        <v>-286113999.36625302</v>
      </c>
      <c r="N166">
        <v>1162.82958031876</v>
      </c>
    </row>
    <row r="167" spans="1:14" x14ac:dyDescent="0.15">
      <c r="A167">
        <v>144</v>
      </c>
      <c r="B167" t="s">
        <v>1089</v>
      </c>
      <c r="C167" s="579">
        <v>3.1152321318578702E-4</v>
      </c>
      <c r="D167" s="579">
        <v>2.3418247152418002E-2</v>
      </c>
      <c r="E167" s="579">
        <v>2.9846516811321701E-4</v>
      </c>
      <c r="F167" s="579">
        <v>2.26249352967073E-4</v>
      </c>
      <c r="G167" s="579">
        <v>1.83773354818116E-4</v>
      </c>
      <c r="H167" s="579">
        <v>1.5759049082508599E-4</v>
      </c>
      <c r="I167" s="579">
        <v>-3.5291055454909502E-5</v>
      </c>
      <c r="J167" s="579">
        <v>0.106063058313303</v>
      </c>
      <c r="K167">
        <v>-287305870.80543399</v>
      </c>
      <c r="L167">
        <v>-287305870.80543399</v>
      </c>
      <c r="M167">
        <v>-287305870.80543399</v>
      </c>
      <c r="N167">
        <v>-3005.3807387205302</v>
      </c>
    </row>
    <row r="168" spans="1:14" x14ac:dyDescent="0.15">
      <c r="A168">
        <v>145</v>
      </c>
      <c r="B168" t="s">
        <v>1090</v>
      </c>
      <c r="C168" s="579">
        <v>2.86445763365344E-4</v>
      </c>
      <c r="D168" s="579">
        <v>2.3648310772752899E-2</v>
      </c>
      <c r="E168" s="579">
        <v>3.13284588521371E-4</v>
      </c>
      <c r="F168" s="579">
        <v>1.0577886038539799E-4</v>
      </c>
      <c r="G168" s="579">
        <v>2.55898899611804E-4</v>
      </c>
      <c r="H168" s="579">
        <v>1.82476574159182E-4</v>
      </c>
      <c r="I168" s="579">
        <v>1.9071808847631599E-4</v>
      </c>
      <c r="J168" s="579">
        <v>0.106787702709687</v>
      </c>
      <c r="K168">
        <v>-289268802.97652501</v>
      </c>
      <c r="L168">
        <v>-289268802.97652501</v>
      </c>
      <c r="M168">
        <v>-289268802.97652501</v>
      </c>
      <c r="N168">
        <v>559.92435517173703</v>
      </c>
    </row>
    <row r="169" spans="1:14" x14ac:dyDescent="0.15">
      <c r="A169">
        <v>146</v>
      </c>
      <c r="B169" t="s">
        <v>1091</v>
      </c>
      <c r="C169" s="579">
        <v>3.4207958949638499E-4</v>
      </c>
      <c r="D169" s="579">
        <v>2.3787703410880101E-2</v>
      </c>
      <c r="E169" s="579">
        <v>2.8769895822774099E-4</v>
      </c>
      <c r="F169" s="579">
        <v>1.71778813120538E-4</v>
      </c>
      <c r="G169" s="579">
        <v>1.25276931312321E-4</v>
      </c>
      <c r="H169" s="579">
        <v>1.38779709533475E-4</v>
      </c>
      <c r="I169" s="579">
        <v>2.22780517811956E-4</v>
      </c>
      <c r="J169" s="579">
        <v>0.10760820943838</v>
      </c>
      <c r="K169">
        <v>-291491409.07460999</v>
      </c>
      <c r="L169">
        <v>-291491409.07460999</v>
      </c>
      <c r="M169">
        <v>-291491409.07460999</v>
      </c>
      <c r="N169">
        <v>483.02342814917603</v>
      </c>
    </row>
    <row r="170" spans="1:14" x14ac:dyDescent="0.15">
      <c r="A170">
        <v>147</v>
      </c>
      <c r="B170" t="s">
        <v>1092</v>
      </c>
      <c r="C170" s="579">
        <v>3.2314633116526298E-4</v>
      </c>
      <c r="D170" s="579">
        <v>2.38687297769659E-2</v>
      </c>
      <c r="E170" s="579">
        <v>3.0703120166101599E-4</v>
      </c>
      <c r="F170" s="579">
        <v>1.52113493788566E-4</v>
      </c>
      <c r="G170" s="579">
        <v>1.6648176443297499E-4</v>
      </c>
      <c r="H170" s="579">
        <v>1.4368407181465499E-4</v>
      </c>
      <c r="I170" s="579">
        <v>2.35288806682674E-4</v>
      </c>
      <c r="J170" s="579">
        <v>0.107921851282872</v>
      </c>
      <c r="K170">
        <v>-292341008.78148198</v>
      </c>
      <c r="L170">
        <v>-292341008.78148198</v>
      </c>
      <c r="M170">
        <v>-292341008.78148198</v>
      </c>
      <c r="N170">
        <v>458.678221052916</v>
      </c>
    </row>
    <row r="171" spans="1:14" x14ac:dyDescent="0.15">
      <c r="A171">
        <v>148</v>
      </c>
      <c r="B171" t="s">
        <v>1093</v>
      </c>
      <c r="C171" s="579">
        <v>3.4513626750547102E-4</v>
      </c>
      <c r="D171" s="579">
        <v>2.38063045216577E-2</v>
      </c>
      <c r="E171" s="579">
        <v>3.1911439045566499E-4</v>
      </c>
      <c r="F171" s="579">
        <v>1.85077581538334E-4</v>
      </c>
      <c r="G171" s="579">
        <v>1.9491950913617901E-4</v>
      </c>
      <c r="H171" s="579">
        <v>2.5146854880923501E-4</v>
      </c>
      <c r="I171" s="579">
        <v>1.38315746557369E-4</v>
      </c>
      <c r="J171" s="579">
        <v>0.107721249060937</v>
      </c>
      <c r="K171">
        <v>-291797613.21119499</v>
      </c>
      <c r="L171">
        <v>-291797613.21119499</v>
      </c>
      <c r="M171">
        <v>-291797613.21119499</v>
      </c>
      <c r="N171">
        <v>778.80683683587495</v>
      </c>
    </row>
    <row r="172" spans="1:14" x14ac:dyDescent="0.15">
      <c r="A172">
        <v>149</v>
      </c>
      <c r="B172" t="s">
        <v>1094</v>
      </c>
      <c r="C172" s="579">
        <v>3.2707922159745699E-4</v>
      </c>
      <c r="D172" s="579">
        <v>2.3702126554685499E-2</v>
      </c>
      <c r="E172" s="579">
        <v>2.8409403833234498E-4</v>
      </c>
      <c r="F172" s="579">
        <v>2.7174607131756102E-4</v>
      </c>
      <c r="G172" s="579">
        <v>2.9060966752020599E-4</v>
      </c>
      <c r="H172" s="579">
        <v>2.2467637710761799E-4</v>
      </c>
      <c r="I172" s="579">
        <v>1.6966225559235699E-4</v>
      </c>
      <c r="J172" s="579">
        <v>0.107380550677022</v>
      </c>
      <c r="K172">
        <v>-290874722.17421001</v>
      </c>
      <c r="L172">
        <v>-290874722.17421001</v>
      </c>
      <c r="M172">
        <v>-290874722.17421001</v>
      </c>
      <c r="N172">
        <v>632.90771599207801</v>
      </c>
    </row>
    <row r="173" spans="1:14" x14ac:dyDescent="0.15">
      <c r="A173">
        <v>150</v>
      </c>
      <c r="B173" t="s">
        <v>1095</v>
      </c>
      <c r="C173" s="579">
        <v>3.2967992898311102E-4</v>
      </c>
      <c r="D173" s="579">
        <v>2.3811308761630599E-2</v>
      </c>
      <c r="E173" s="579">
        <v>2.9647261451031702E-4</v>
      </c>
      <c r="F173" s="579">
        <v>1.5016741161011301E-4</v>
      </c>
      <c r="G173" s="579">
        <v>8.1064069413452506E-5</v>
      </c>
      <c r="H173" s="579">
        <v>2.6654710058618501E-4</v>
      </c>
      <c r="I173" s="579">
        <v>4.2151846883298498E-4</v>
      </c>
      <c r="J173" s="579">
        <v>0.107455856456805</v>
      </c>
      <c r="K173">
        <v>-291078712.07400399</v>
      </c>
      <c r="L173">
        <v>-291078712.07400399</v>
      </c>
      <c r="M173">
        <v>-291078712.07400399</v>
      </c>
      <c r="N173">
        <v>254.92561869070099</v>
      </c>
    </row>
    <row r="174" spans="1:14" x14ac:dyDescent="0.15">
      <c r="A174">
        <v>151</v>
      </c>
      <c r="B174" t="s">
        <v>1096</v>
      </c>
      <c r="C174" s="579">
        <v>3.4249247236713099E-4</v>
      </c>
      <c r="D174" s="579">
        <v>2.3865629636168301E-2</v>
      </c>
      <c r="E174" s="579">
        <v>2.9535993178440498E-4</v>
      </c>
      <c r="F174" s="579">
        <v>1.4532625112597501E-4</v>
      </c>
      <c r="G174" s="579">
        <v>2.2501819718723001E-4</v>
      </c>
      <c r="H174" s="579">
        <v>2.2219725639563201E-4</v>
      </c>
      <c r="I174" s="579">
        <v>1.72906168552493E-4</v>
      </c>
      <c r="J174" s="579">
        <v>0.107760029033539</v>
      </c>
      <c r="K174">
        <v>-291902661.22673702</v>
      </c>
      <c r="L174">
        <v>-291902661.22673702</v>
      </c>
      <c r="M174">
        <v>-291902661.22673702</v>
      </c>
      <c r="N174">
        <v>623.22836678220597</v>
      </c>
    </row>
    <row r="175" spans="1:14" x14ac:dyDescent="0.15">
      <c r="A175">
        <v>152</v>
      </c>
      <c r="B175" t="s">
        <v>1097</v>
      </c>
      <c r="C175" s="579">
        <v>3.1597082843261298E-4</v>
      </c>
      <c r="D175" s="579">
        <v>2.3826485241716499E-2</v>
      </c>
      <c r="E175" s="579">
        <v>2.8607146037515699E-4</v>
      </c>
      <c r="F175" s="579">
        <v>1.30615154680627E-4</v>
      </c>
      <c r="G175" s="579">
        <v>2.5080880778301999E-4</v>
      </c>
      <c r="H175" s="579">
        <v>1.8902558614149201E-4</v>
      </c>
      <c r="I175" s="579">
        <v>2.2615085528593501E-4</v>
      </c>
      <c r="J175" s="579">
        <v>0.107632018397775</v>
      </c>
      <c r="K175">
        <v>-291555903.29079401</v>
      </c>
      <c r="L175">
        <v>-291555903.29079401</v>
      </c>
      <c r="M175">
        <v>-291555903.29079401</v>
      </c>
      <c r="N175">
        <v>475.93018501606002</v>
      </c>
    </row>
    <row r="176" spans="1:14" x14ac:dyDescent="0.15">
      <c r="A176">
        <v>153</v>
      </c>
      <c r="B176" t="s">
        <v>1098</v>
      </c>
      <c r="C176" s="579">
        <v>2.9945825492330198E-4</v>
      </c>
      <c r="D176" s="579">
        <v>2.35936626913715E-2</v>
      </c>
      <c r="E176" s="579">
        <v>2.8324474121242199E-4</v>
      </c>
      <c r="F176" s="579">
        <v>2.4687068316122101E-4</v>
      </c>
      <c r="G176" s="579">
        <v>1.86368547171033E-4</v>
      </c>
      <c r="H176" s="579">
        <v>3.1284675902371398E-4</v>
      </c>
      <c r="I176" s="579">
        <v>1.3342858681860499E-4</v>
      </c>
      <c r="J176" s="579">
        <v>0.10652062606609</v>
      </c>
      <c r="K176">
        <v>-288545340.077371</v>
      </c>
      <c r="L176">
        <v>-288545340.077371</v>
      </c>
      <c r="M176">
        <v>-288545340.077371</v>
      </c>
      <c r="N176">
        <v>798.33436451593502</v>
      </c>
    </row>
    <row r="177" spans="1:14" x14ac:dyDescent="0.15">
      <c r="A177">
        <v>154</v>
      </c>
      <c r="B177" t="s">
        <v>1099</v>
      </c>
      <c r="C177" s="579">
        <v>2.8726712634943001E-4</v>
      </c>
      <c r="D177" s="579">
        <v>2.3342817213723398E-2</v>
      </c>
      <c r="E177" s="579">
        <v>2.9964872645001799E-4</v>
      </c>
      <c r="F177" s="579">
        <v>4.2587792493541498E-5</v>
      </c>
      <c r="G177" s="579">
        <v>1.1480412745130801E-4</v>
      </c>
      <c r="H177" s="579">
        <v>7.9976629190342901E-5</v>
      </c>
      <c r="I177" s="579">
        <v>1.12331175050339E-4</v>
      </c>
      <c r="J177" s="579">
        <v>0.10517646342173199</v>
      </c>
      <c r="K177">
        <v>-284904243.68449998</v>
      </c>
      <c r="L177">
        <v>-284904243.68449998</v>
      </c>
      <c r="M177">
        <v>-284904243.68449998</v>
      </c>
      <c r="N177">
        <v>936.30698133976603</v>
      </c>
    </row>
    <row r="178" spans="1:14" x14ac:dyDescent="0.15">
      <c r="A178">
        <v>155</v>
      </c>
      <c r="B178" t="s">
        <v>1100</v>
      </c>
      <c r="C178" s="579">
        <v>3.5676896549631602E-4</v>
      </c>
      <c r="D178" s="579">
        <v>2.3122416048846101E-2</v>
      </c>
      <c r="E178" s="579">
        <v>3.3296731956101999E-4</v>
      </c>
      <c r="F178" s="579">
        <v>2.2455303383399301E-4</v>
      </c>
      <c r="G178" s="579">
        <v>1.57542368394628E-4</v>
      </c>
      <c r="H178" s="579">
        <v>2.8800410021284699E-4</v>
      </c>
      <c r="I178" s="579">
        <v>2.26466991697074E-4</v>
      </c>
      <c r="J178" s="579">
        <v>0.10468957316660001</v>
      </c>
      <c r="K178">
        <v>-283585344.99383402</v>
      </c>
      <c r="L178">
        <v>-283585344.99383402</v>
      </c>
      <c r="M178">
        <v>-283585344.99383402</v>
      </c>
      <c r="N178">
        <v>462.27298902187999</v>
      </c>
    </row>
    <row r="179" spans="1:14" x14ac:dyDescent="0.15">
      <c r="A179">
        <v>156</v>
      </c>
      <c r="B179" t="s">
        <v>1101</v>
      </c>
      <c r="C179" s="579">
        <v>3.1996382001665802E-4</v>
      </c>
      <c r="D179" s="579">
        <v>2.32130251363864E-2</v>
      </c>
      <c r="E179" s="579">
        <v>3.5353676485979399E-4</v>
      </c>
      <c r="F179" s="579">
        <v>7.2278956777286604E-5</v>
      </c>
      <c r="G179" s="579">
        <v>2.6991905985593897E-4</v>
      </c>
      <c r="H179" s="579">
        <v>2.9453735496725702E-4</v>
      </c>
      <c r="I179" s="579">
        <v>2.0252776366839299E-4</v>
      </c>
      <c r="J179" s="579">
        <v>0.104994499958788</v>
      </c>
      <c r="K179">
        <v>-284411337.18145198</v>
      </c>
      <c r="L179">
        <v>-284411337.18145198</v>
      </c>
      <c r="M179">
        <v>-284411337.18145198</v>
      </c>
      <c r="N179">
        <v>518.420280049604</v>
      </c>
    </row>
    <row r="180" spans="1:14" x14ac:dyDescent="0.15">
      <c r="A180">
        <v>157</v>
      </c>
      <c r="B180" t="s">
        <v>1102</v>
      </c>
      <c r="C180" s="579">
        <v>3.3396107090042298E-4</v>
      </c>
      <c r="D180" s="579">
        <v>2.3339830312068301E-2</v>
      </c>
      <c r="E180" s="579">
        <v>3.1022916451051299E-4</v>
      </c>
      <c r="F180" s="579">
        <v>8.2343969930463997E-5</v>
      </c>
      <c r="G180" s="579">
        <v>2.06655031263194E-4</v>
      </c>
      <c r="H180" s="579">
        <v>1.9915440577871699E-4</v>
      </c>
      <c r="I180" s="579">
        <v>2.1286724619219E-4</v>
      </c>
      <c r="J180" s="579">
        <v>0.105459524531801</v>
      </c>
      <c r="K180">
        <v>-285671005.64679903</v>
      </c>
      <c r="L180">
        <v>-285671005.64679903</v>
      </c>
      <c r="M180">
        <v>-285671005.64679903</v>
      </c>
      <c r="N180">
        <v>495.42391522548297</v>
      </c>
    </row>
    <row r="181" spans="1:14" x14ac:dyDescent="0.15">
      <c r="A181">
        <v>158</v>
      </c>
      <c r="B181" t="s">
        <v>1103</v>
      </c>
      <c r="C181" s="579">
        <v>3.51326933570213E-4</v>
      </c>
      <c r="D181" s="579">
        <v>2.3368394078277101E-2</v>
      </c>
      <c r="E181" s="579">
        <v>2.6270314810312198E-4</v>
      </c>
      <c r="F181" s="579">
        <v>1.3755584828136299E-4</v>
      </c>
      <c r="G181" s="579">
        <v>2.9273600453667598E-4</v>
      </c>
      <c r="H181" s="579">
        <v>1.4860434101174899E-4</v>
      </c>
      <c r="I181" s="579">
        <v>1.97747784680179E-4</v>
      </c>
      <c r="J181" s="579">
        <v>0.105531695964879</v>
      </c>
      <c r="K181">
        <v>-285866505.16149801</v>
      </c>
      <c r="L181">
        <v>-285866505.16149801</v>
      </c>
      <c r="M181">
        <v>-285866505.16149801</v>
      </c>
      <c r="N181">
        <v>533.66815782820504</v>
      </c>
    </row>
    <row r="182" spans="1:14" x14ac:dyDescent="0.15">
      <c r="A182">
        <v>159</v>
      </c>
      <c r="B182" t="s">
        <v>1104</v>
      </c>
      <c r="C182" s="579">
        <v>3.1061831689023999E-4</v>
      </c>
      <c r="D182" s="579">
        <v>2.33326272944549E-2</v>
      </c>
      <c r="E182" s="579">
        <v>2.97718318891679E-4</v>
      </c>
      <c r="F182" s="579">
        <v>1.9725391902214199E-4</v>
      </c>
      <c r="G182" s="579">
        <v>2.68061512154111E-4</v>
      </c>
      <c r="H182" s="579">
        <v>5.21606535216575E-5</v>
      </c>
      <c r="I182" s="579">
        <v>7.5982050659258803E-5</v>
      </c>
      <c r="J182" s="579">
        <v>0.10562116357781801</v>
      </c>
      <c r="K182">
        <v>-286108856.93649697</v>
      </c>
      <c r="L182">
        <v>-286108856.93649697</v>
      </c>
      <c r="M182">
        <v>-286108856.93649697</v>
      </c>
      <c r="N182">
        <v>1390.0804553364301</v>
      </c>
    </row>
    <row r="183" spans="1:14" x14ac:dyDescent="0.15">
      <c r="A183">
        <v>160</v>
      </c>
      <c r="B183" t="s">
        <v>1105</v>
      </c>
      <c r="C183" s="579">
        <v>2.8778130542459298E-4</v>
      </c>
      <c r="D183" s="579">
        <v>2.3372184428018E-2</v>
      </c>
      <c r="E183" s="579">
        <v>3.2701139763580502E-4</v>
      </c>
      <c r="F183" s="579">
        <v>8.5252304715008003E-5</v>
      </c>
      <c r="G183" s="579">
        <v>1.5560607227990399E-4</v>
      </c>
      <c r="H183" s="579">
        <v>-1.38660987410161E-5</v>
      </c>
      <c r="I183" s="579">
        <v>2.4070480246200199E-4</v>
      </c>
      <c r="J183" s="579">
        <v>0.105826235998543</v>
      </c>
      <c r="K183">
        <v>-286664361.47645301</v>
      </c>
      <c r="L183">
        <v>-286664361.47645301</v>
      </c>
      <c r="M183">
        <v>-286664361.47645301</v>
      </c>
      <c r="N183">
        <v>439.65153547465798</v>
      </c>
    </row>
    <row r="184" spans="1:14" x14ac:dyDescent="0.15">
      <c r="A184">
        <v>161</v>
      </c>
      <c r="B184" t="s">
        <v>1106</v>
      </c>
      <c r="C184" s="579">
        <v>3.5705395153844003E-4</v>
      </c>
      <c r="D184" s="579">
        <v>2.32411324695335E-2</v>
      </c>
      <c r="E184" s="579">
        <v>2.8571819198834798E-4</v>
      </c>
      <c r="F184" s="579">
        <v>1.86585137691554E-4</v>
      </c>
      <c r="G184" s="579">
        <v>-3.5915814217846897E-5</v>
      </c>
      <c r="H184" s="579">
        <v>2.05623004292774E-4</v>
      </c>
      <c r="I184" s="579">
        <v>2.57001705042737E-4</v>
      </c>
      <c r="J184" s="579">
        <v>0.104981523153201</v>
      </c>
      <c r="K184">
        <v>-284376185.334158</v>
      </c>
      <c r="L184">
        <v>-284376185.334158</v>
      </c>
      <c r="M184">
        <v>-284376185.334158</v>
      </c>
      <c r="N184">
        <v>408.48570687787497</v>
      </c>
    </row>
    <row r="185" spans="1:14" x14ac:dyDescent="0.15">
      <c r="A185">
        <v>162</v>
      </c>
      <c r="B185" t="s">
        <v>1107</v>
      </c>
      <c r="C185" s="579">
        <v>3.4750379545481702E-4</v>
      </c>
      <c r="D185" s="579">
        <v>2.3195781649455401E-2</v>
      </c>
      <c r="E185" s="579">
        <v>2.8393290236333101E-4</v>
      </c>
      <c r="F185" s="579">
        <v>3.13648505828173E-4</v>
      </c>
      <c r="G185" s="579">
        <v>1.8138405010328701E-4</v>
      </c>
      <c r="H185" s="579">
        <v>2.9449389788004798E-4</v>
      </c>
      <c r="I185" s="579">
        <v>1.14954774608836E-4</v>
      </c>
      <c r="J185" s="579">
        <v>0.104726497682036</v>
      </c>
      <c r="K185">
        <v>-283685366.90749699</v>
      </c>
      <c r="L185">
        <v>-283685366.90749699</v>
      </c>
      <c r="M185">
        <v>-283685366.90749699</v>
      </c>
      <c r="N185">
        <v>911.02347021596097</v>
      </c>
    </row>
    <row r="186" spans="1:14" x14ac:dyDescent="0.15">
      <c r="A186">
        <v>163</v>
      </c>
      <c r="B186" t="s">
        <v>1108</v>
      </c>
      <c r="C186" s="579">
        <v>3.0457973104617501E-4</v>
      </c>
      <c r="D186" s="579">
        <v>2.3119962405836199E-2</v>
      </c>
      <c r="E186" s="579">
        <v>3.3660393920595199E-4</v>
      </c>
      <c r="F186" s="579">
        <v>1.67226263408694E-4</v>
      </c>
      <c r="G186" s="579">
        <v>1.0342740578732599E-4</v>
      </c>
      <c r="H186" s="579">
        <v>3.1068450054476599E-4</v>
      </c>
      <c r="I186" s="579">
        <v>2.1955552139518101E-4</v>
      </c>
      <c r="J186" s="579">
        <v>0.104423350433255</v>
      </c>
      <c r="K186">
        <v>-282864195.184955</v>
      </c>
      <c r="L186">
        <v>-282864195.184955</v>
      </c>
      <c r="M186">
        <v>-282864195.184955</v>
      </c>
      <c r="N186">
        <v>475.61250006235298</v>
      </c>
    </row>
    <row r="187" spans="1:14" x14ac:dyDescent="0.15">
      <c r="A187">
        <v>164</v>
      </c>
      <c r="B187" t="s">
        <v>1109</v>
      </c>
      <c r="C187" s="579">
        <v>2.7907542314070303E-4</v>
      </c>
      <c r="D187" s="579">
        <v>2.29640440534606E-2</v>
      </c>
      <c r="E187" s="579">
        <v>2.8678770885742902E-4</v>
      </c>
      <c r="F187" s="579">
        <v>1.8929878793258099E-4</v>
      </c>
      <c r="G187" s="579">
        <v>9.3627147481066506E-5</v>
      </c>
      <c r="H187" s="579">
        <v>1.6550599120462701E-4</v>
      </c>
      <c r="I187" s="579">
        <v>4.9280749825940598E-5</v>
      </c>
      <c r="J187" s="579">
        <v>0.10369488470994501</v>
      </c>
      <c r="K187">
        <v>-280890911.72211897</v>
      </c>
      <c r="L187">
        <v>-280890911.72211897</v>
      </c>
      <c r="M187">
        <v>-280890911.72211897</v>
      </c>
      <c r="N187">
        <v>2104.1661313229902</v>
      </c>
    </row>
    <row r="188" spans="1:14" x14ac:dyDescent="0.15">
      <c r="A188">
        <v>165</v>
      </c>
      <c r="B188" t="s">
        <v>1110</v>
      </c>
      <c r="C188" s="579">
        <v>3.51475335650067E-4</v>
      </c>
      <c r="D188" s="579">
        <v>2.27585089049104E-2</v>
      </c>
      <c r="E188" s="579">
        <v>2.9237984007661298E-4</v>
      </c>
      <c r="F188" s="579">
        <v>7.0225006795830296E-5</v>
      </c>
      <c r="G188" s="579">
        <v>2.7046622738615501E-4</v>
      </c>
      <c r="H188" s="579">
        <v>7.4077883106884497E-5</v>
      </c>
      <c r="I188" s="579">
        <v>2.6812049516186301E-4</v>
      </c>
      <c r="J188" s="579">
        <v>0.103017396847686</v>
      </c>
      <c r="K188">
        <v>-279055718.17479098</v>
      </c>
      <c r="L188">
        <v>-279055718.17479098</v>
      </c>
      <c r="M188">
        <v>-279055718.17479098</v>
      </c>
      <c r="N188">
        <v>384.22052288652901</v>
      </c>
    </row>
    <row r="189" spans="1:14" x14ac:dyDescent="0.15">
      <c r="A189">
        <v>166</v>
      </c>
      <c r="B189" t="s">
        <v>1111</v>
      </c>
      <c r="C189" s="579">
        <v>3.4479495636591701E-4</v>
      </c>
      <c r="D189" s="579">
        <v>2.2452442925715899E-2</v>
      </c>
      <c r="E189" s="579">
        <v>3.0913559345859101E-4</v>
      </c>
      <c r="F189" s="579">
        <v>2.35744424169874E-4</v>
      </c>
      <c r="G189" s="579">
        <v>3.8441280538470098E-4</v>
      </c>
      <c r="H189" s="579">
        <v>2.5634043547823E-4</v>
      </c>
      <c r="I189" s="579">
        <v>2.1440955827974699E-4</v>
      </c>
      <c r="J189" s="579">
        <v>0.101606677128488</v>
      </c>
      <c r="K189">
        <v>-275234330.56036502</v>
      </c>
      <c r="L189">
        <v>-275234330.56036502</v>
      </c>
      <c r="M189">
        <v>-275234330.56036502</v>
      </c>
      <c r="N189">
        <v>473.89061357012099</v>
      </c>
    </row>
    <row r="190" spans="1:14" x14ac:dyDescent="0.15">
      <c r="A190">
        <v>167</v>
      </c>
      <c r="B190" t="s">
        <v>1112</v>
      </c>
      <c r="C190" s="579">
        <v>3.5023115547562202E-4</v>
      </c>
      <c r="D190" s="579">
        <v>2.2390953577349399E-2</v>
      </c>
      <c r="E190" s="579">
        <v>3.19711580516145E-4</v>
      </c>
      <c r="F190" s="579">
        <v>2.4808709942271097E-4</v>
      </c>
      <c r="G190" s="579">
        <v>1.00429870705375E-4</v>
      </c>
      <c r="H190" s="579">
        <v>1.9678412664761799E-4</v>
      </c>
      <c r="I190" s="579">
        <v>1.41099975493145E-4</v>
      </c>
      <c r="J190" s="579">
        <v>0.10087225420763</v>
      </c>
      <c r="K190">
        <v>-273244910.11396098</v>
      </c>
      <c r="L190">
        <v>-273244910.11396098</v>
      </c>
      <c r="M190">
        <v>-273244910.11396098</v>
      </c>
      <c r="N190">
        <v>714.89916178285102</v>
      </c>
    </row>
    <row r="191" spans="1:14" x14ac:dyDescent="0.15">
      <c r="A191">
        <v>168</v>
      </c>
      <c r="B191" t="s">
        <v>1113</v>
      </c>
      <c r="C191" s="579">
        <v>3.52387902903734E-4</v>
      </c>
      <c r="D191" s="579">
        <v>2.2445800923040701E-2</v>
      </c>
      <c r="E191" s="579">
        <v>3.0087881117922598E-4</v>
      </c>
      <c r="F191" s="579">
        <v>1.21520464332695E-4</v>
      </c>
      <c r="G191" s="579">
        <v>1.5498284565210101E-4</v>
      </c>
      <c r="H191" s="579">
        <v>1.14243081514627E-4</v>
      </c>
      <c r="I191" s="579">
        <v>1.88182409925785E-4</v>
      </c>
      <c r="J191" s="579">
        <v>0.101114867617019</v>
      </c>
      <c r="K191">
        <v>-273902106.48338598</v>
      </c>
      <c r="L191">
        <v>-273902106.48338598</v>
      </c>
      <c r="M191">
        <v>-273902106.48338598</v>
      </c>
      <c r="N191">
        <v>537.32369383991295</v>
      </c>
    </row>
    <row r="192" spans="1:14" x14ac:dyDescent="0.15">
      <c r="A192">
        <v>169</v>
      </c>
      <c r="B192" t="s">
        <v>1114</v>
      </c>
      <c r="C192" s="579">
        <v>3.0273809896005802E-4</v>
      </c>
      <c r="D192" s="579">
        <v>2.2526501679769498E-2</v>
      </c>
      <c r="E192" s="579">
        <v>3.4856736073646602E-4</v>
      </c>
      <c r="F192" s="579">
        <v>1.3586013685863401E-4</v>
      </c>
      <c r="G192" s="579">
        <v>2.0837333874917799E-4</v>
      </c>
      <c r="H192" s="579">
        <v>1.54632478507298E-4</v>
      </c>
      <c r="I192" s="579">
        <v>1.6889584813040699E-6</v>
      </c>
      <c r="J192" s="579">
        <v>0.10143079158613</v>
      </c>
      <c r="K192">
        <v>-274757888.05801702</v>
      </c>
      <c r="L192">
        <v>-274757888.05801702</v>
      </c>
      <c r="M192">
        <v>-274757888.05801702</v>
      </c>
      <c r="N192" t="s">
        <v>1115</v>
      </c>
    </row>
    <row r="193" spans="1:14" x14ac:dyDescent="0.15">
      <c r="A193">
        <v>170</v>
      </c>
      <c r="B193" t="s">
        <v>1116</v>
      </c>
      <c r="C193" s="579">
        <v>2.8479170847714799E-4</v>
      </c>
      <c r="D193" s="579">
        <v>2.2483446966188401E-2</v>
      </c>
      <c r="E193" s="579">
        <v>3.01318746356527E-4</v>
      </c>
      <c r="F193" s="579">
        <v>9.1709040777450304E-5</v>
      </c>
      <c r="G193" s="579">
        <v>1.9013733506874001E-4</v>
      </c>
      <c r="H193" s="579">
        <v>2.2832659213385599E-4</v>
      </c>
      <c r="I193" s="579">
        <v>1.4054728499957999E-4</v>
      </c>
      <c r="J193" s="579">
        <v>0.10143916591322399</v>
      </c>
      <c r="K193">
        <v>-274780572.61356997</v>
      </c>
      <c r="L193">
        <v>-274780572.61356997</v>
      </c>
      <c r="M193">
        <v>-274780572.61356997</v>
      </c>
      <c r="N193">
        <v>721.74404445825803</v>
      </c>
    </row>
    <row r="194" spans="1:14" x14ac:dyDescent="0.15">
      <c r="A194">
        <v>171</v>
      </c>
      <c r="B194" t="s">
        <v>1117</v>
      </c>
      <c r="C194" s="579">
        <v>2.9645333051081502E-4</v>
      </c>
      <c r="D194" s="579">
        <v>2.2322724568643499E-2</v>
      </c>
      <c r="E194" s="579">
        <v>3.0027552364648503E-4</v>
      </c>
      <c r="F194" s="579">
        <v>2.8146555438374502E-4</v>
      </c>
      <c r="G194" s="579">
        <v>2.52973280719441E-4</v>
      </c>
      <c r="H194" s="579">
        <v>2.3625994385749401E-4</v>
      </c>
      <c r="I194" s="579">
        <v>3.3988857891295002E-4</v>
      </c>
      <c r="J194" s="579">
        <v>0.100616003448648</v>
      </c>
      <c r="K194">
        <v>-272550772.601574</v>
      </c>
      <c r="L194">
        <v>-272550772.601574</v>
      </c>
      <c r="M194">
        <v>-272550772.601574</v>
      </c>
      <c r="N194">
        <v>296.02643245749499</v>
      </c>
    </row>
    <row r="195" spans="1:14" x14ac:dyDescent="0.15">
      <c r="A195">
        <v>172</v>
      </c>
      <c r="B195" t="s">
        <v>1118</v>
      </c>
      <c r="C195" s="579">
        <v>3.6343575149062001E-4</v>
      </c>
      <c r="D195" s="579">
        <v>2.2081969310150398E-2</v>
      </c>
      <c r="E195" s="579">
        <v>2.9620757320525902E-4</v>
      </c>
      <c r="F195" s="579">
        <v>2.16732297257999E-4</v>
      </c>
      <c r="G195" s="579">
        <v>3.0762158217738101E-4</v>
      </c>
      <c r="H195" s="579">
        <v>1.0021995354780101E-4</v>
      </c>
      <c r="I195" s="579">
        <v>1.7977131666567801E-4</v>
      </c>
      <c r="J195" s="579">
        <v>9.9606359812226097E-2</v>
      </c>
      <c r="K195">
        <v>-269815828.42045498</v>
      </c>
      <c r="L195">
        <v>-269815828.42045498</v>
      </c>
      <c r="M195">
        <v>-269815828.42045498</v>
      </c>
      <c r="N195">
        <v>554.07259433641696</v>
      </c>
    </row>
    <row r="196" spans="1:14" x14ac:dyDescent="0.15">
      <c r="A196">
        <v>173</v>
      </c>
      <c r="B196" t="s">
        <v>1119</v>
      </c>
      <c r="C196" s="579">
        <v>3.5841995245116802E-4</v>
      </c>
      <c r="D196" s="579">
        <v>2.1976371851604001E-2</v>
      </c>
      <c r="E196" s="579">
        <v>2.91125860699117E-4</v>
      </c>
      <c r="F196" s="579">
        <v>9.9669591203131302E-5</v>
      </c>
      <c r="G196" s="579">
        <v>1.8956949447784E-4</v>
      </c>
      <c r="H196" s="579">
        <v>1.71001508414498E-4</v>
      </c>
      <c r="I196" s="579">
        <v>3.4385776844883699E-4</v>
      </c>
      <c r="J196" s="579">
        <v>9.91792644693342E-2</v>
      </c>
      <c r="K196">
        <v>-268658903.46130502</v>
      </c>
      <c r="L196">
        <v>-268658903.46130502</v>
      </c>
      <c r="M196">
        <v>-268658903.46130502</v>
      </c>
      <c r="N196">
        <v>288.43107112785998</v>
      </c>
    </row>
    <row r="197" spans="1:14" x14ac:dyDescent="0.15">
      <c r="A197">
        <v>174</v>
      </c>
      <c r="B197" t="s">
        <v>1120</v>
      </c>
      <c r="C197" s="579">
        <v>3.2626680994779999E-4</v>
      </c>
      <c r="D197" s="579">
        <v>2.1822614262513199E-2</v>
      </c>
      <c r="E197" s="579">
        <v>3.1385036698652598E-4</v>
      </c>
      <c r="F197" s="579">
        <v>1.6130065065839E-4</v>
      </c>
      <c r="G197" s="579">
        <v>9.7135996714855504E-5</v>
      </c>
      <c r="H197" s="579">
        <v>1.7881529310659401E-4</v>
      </c>
      <c r="I197" s="579">
        <v>2.24164682118348E-4</v>
      </c>
      <c r="J197" s="579">
        <v>9.8840853095864101E-2</v>
      </c>
      <c r="K197">
        <v>-267742207.52691001</v>
      </c>
      <c r="L197">
        <v>-267742207.52691001</v>
      </c>
      <c r="M197">
        <v>-267742207.52691001</v>
      </c>
      <c r="N197">
        <v>440.92964226934203</v>
      </c>
    </row>
    <row r="198" spans="1:14" x14ac:dyDescent="0.15">
      <c r="A198">
        <v>175</v>
      </c>
      <c r="B198" t="s">
        <v>1121</v>
      </c>
      <c r="C198" s="579">
        <v>3.2003975900510501E-4</v>
      </c>
      <c r="D198" s="579">
        <v>2.17428901621892E-2</v>
      </c>
      <c r="E198" s="579">
        <v>3.0182853578130297E-4</v>
      </c>
      <c r="F198" s="579">
        <v>1.2587947238257101E-4</v>
      </c>
      <c r="G198" s="579">
        <v>2.44084437384051E-4</v>
      </c>
      <c r="H198" s="579">
        <v>2.4623232241981099E-4</v>
      </c>
      <c r="I198" s="579">
        <v>1.7729136327279601E-4</v>
      </c>
      <c r="J198" s="579">
        <v>9.8301147905849096E-2</v>
      </c>
      <c r="K198">
        <v>-266280242.61602199</v>
      </c>
      <c r="L198">
        <v>-266280242.61602199</v>
      </c>
      <c r="M198">
        <v>-266280242.61602199</v>
      </c>
      <c r="N198">
        <v>554.46100752575296</v>
      </c>
    </row>
    <row r="199" spans="1:14" x14ac:dyDescent="0.15">
      <c r="A199">
        <v>176</v>
      </c>
      <c r="B199" t="s">
        <v>1122</v>
      </c>
      <c r="C199" s="579">
        <v>3.07555776649644E-4</v>
      </c>
      <c r="D199" s="579">
        <v>2.1744627816189799E-2</v>
      </c>
      <c r="E199" s="579">
        <v>3.11268114360477E-4</v>
      </c>
      <c r="F199" s="579">
        <v>1.96141094736951E-4</v>
      </c>
      <c r="G199" s="579">
        <v>8.7952561870308798E-5</v>
      </c>
      <c r="H199" s="579">
        <v>1.17275606287557E-4</v>
      </c>
      <c r="I199" s="579">
        <v>-6.4020098748735196E-5</v>
      </c>
      <c r="J199" s="579">
        <v>9.7926927651570503E-2</v>
      </c>
      <c r="K199">
        <v>-265266546.82280001</v>
      </c>
      <c r="L199">
        <v>-265266546.82280001</v>
      </c>
      <c r="M199">
        <v>-265266546.82280001</v>
      </c>
      <c r="N199">
        <v>-1529.6278757068401</v>
      </c>
    </row>
    <row r="200" spans="1:14" x14ac:dyDescent="0.15">
      <c r="A200">
        <v>177</v>
      </c>
      <c r="B200" t="s">
        <v>1123</v>
      </c>
      <c r="C200" s="579">
        <v>3.1993359603022599E-4</v>
      </c>
      <c r="D200" s="579">
        <v>2.1751490143515E-2</v>
      </c>
      <c r="E200" s="579">
        <v>3.0409775843123402E-4</v>
      </c>
      <c r="F200" s="579">
        <v>1.0189676243219101E-4</v>
      </c>
      <c r="G200" s="579">
        <v>2.7559021713210801E-4</v>
      </c>
      <c r="H200" s="579">
        <v>1.3417694100138899E-4</v>
      </c>
      <c r="I200" s="579">
        <v>1.5030896204409701E-4</v>
      </c>
      <c r="J200" s="579">
        <v>9.8070549170464802E-2</v>
      </c>
      <c r="K200">
        <v>-265655591.85137501</v>
      </c>
      <c r="L200">
        <v>-265655591.85137501</v>
      </c>
      <c r="M200">
        <v>-265655591.85137501</v>
      </c>
      <c r="N200">
        <v>652.45975913061704</v>
      </c>
    </row>
    <row r="201" spans="1:14" x14ac:dyDescent="0.15">
      <c r="A201">
        <v>178</v>
      </c>
      <c r="B201" t="s">
        <v>1124</v>
      </c>
      <c r="C201" s="579">
        <v>2.9643990305024299E-4</v>
      </c>
      <c r="D201" s="579">
        <v>2.1746464280897802E-2</v>
      </c>
      <c r="E201" s="579">
        <v>3.0256794664581898E-4</v>
      </c>
      <c r="F201" s="579">
        <v>2.9681269175180398E-4</v>
      </c>
      <c r="G201" s="579">
        <v>3.5895484377859997E-4</v>
      </c>
      <c r="H201" s="579">
        <v>2.0059901469248899E-4</v>
      </c>
      <c r="I201" s="579">
        <v>4.2102891016184801E-4</v>
      </c>
      <c r="J201" s="579">
        <v>9.8209180995959003E-2</v>
      </c>
      <c r="K201">
        <v>-266031120.69222099</v>
      </c>
      <c r="L201">
        <v>-266031120.69222099</v>
      </c>
      <c r="M201">
        <v>-266031120.69222099</v>
      </c>
      <c r="N201">
        <v>233.25994634954199</v>
      </c>
    </row>
    <row r="202" spans="1:14" x14ac:dyDescent="0.15">
      <c r="A202">
        <v>179</v>
      </c>
      <c r="B202" t="s">
        <v>1125</v>
      </c>
      <c r="C202" s="579">
        <v>2.74906995868492E-4</v>
      </c>
      <c r="D202" s="579">
        <v>2.1845167146753899E-2</v>
      </c>
      <c r="E202" s="579">
        <v>2.9314129488613398E-4</v>
      </c>
      <c r="F202" s="579">
        <v>2.5569028475520199E-4</v>
      </c>
      <c r="G202" s="579">
        <v>1.0732500491911901E-4</v>
      </c>
      <c r="H202" s="579">
        <v>3.1898098570539498E-4</v>
      </c>
      <c r="I202" s="579">
        <v>1.4619231375227699E-4</v>
      </c>
      <c r="J202" s="579">
        <v>9.8581024587736404E-2</v>
      </c>
      <c r="K202">
        <v>-267038378.531454</v>
      </c>
      <c r="L202">
        <v>-267038378.531454</v>
      </c>
      <c r="M202">
        <v>-267038378.531454</v>
      </c>
      <c r="N202">
        <v>674.32426546570605</v>
      </c>
    </row>
    <row r="203" spans="1:14" x14ac:dyDescent="0.15">
      <c r="A203">
        <v>180</v>
      </c>
      <c r="B203" t="s">
        <v>1126</v>
      </c>
      <c r="C203" s="579">
        <v>3.2918662976170202E-4</v>
      </c>
      <c r="D203" s="579">
        <v>2.2004239462324899E-2</v>
      </c>
      <c r="E203" s="579">
        <v>2.9309199252082002E-4</v>
      </c>
      <c r="F203" s="579">
        <v>1.53870565802395E-4</v>
      </c>
      <c r="G203" s="579">
        <v>2.35002631746106E-4</v>
      </c>
      <c r="H203" s="579">
        <v>1.88680910600212E-4</v>
      </c>
      <c r="I203" s="579">
        <v>2.1925044650342301E-4</v>
      </c>
      <c r="J203" s="579">
        <v>9.9053097056308506E-2</v>
      </c>
      <c r="K203">
        <v>-268317138.48636401</v>
      </c>
      <c r="L203">
        <v>-268317138.48636401</v>
      </c>
      <c r="M203">
        <v>-268317138.48636401</v>
      </c>
      <c r="N203">
        <v>451.78059445713302</v>
      </c>
    </row>
    <row r="204" spans="1:14" x14ac:dyDescent="0.15">
      <c r="A204">
        <v>181</v>
      </c>
      <c r="B204" t="s">
        <v>1127</v>
      </c>
      <c r="C204" s="579">
        <v>3.67600827581346E-4</v>
      </c>
      <c r="D204" s="579">
        <v>2.2032952511614402E-2</v>
      </c>
      <c r="E204" s="579">
        <v>3.0372695206267201E-4</v>
      </c>
      <c r="F204" s="579">
        <v>3.0011765176290799E-5</v>
      </c>
      <c r="G204" s="579">
        <v>3.4905351525677002E-4</v>
      </c>
      <c r="H204" s="579">
        <v>9.7460692816585303E-5</v>
      </c>
      <c r="I204" s="579">
        <v>2.23718991282127E-4</v>
      </c>
      <c r="J204" s="579">
        <v>9.9174851076528195E-2</v>
      </c>
      <c r="K204">
        <v>-268646948.36889601</v>
      </c>
      <c r="L204">
        <v>-268646948.36889601</v>
      </c>
      <c r="M204">
        <v>-268646948.36889601</v>
      </c>
      <c r="N204">
        <v>443.30099339425698</v>
      </c>
    </row>
    <row r="205" spans="1:14" x14ac:dyDescent="0.15">
      <c r="A205">
        <v>182</v>
      </c>
      <c r="B205" t="s">
        <v>1128</v>
      </c>
      <c r="C205" s="579">
        <v>3.3833479978402203E-4</v>
      </c>
      <c r="D205" s="579">
        <v>2.1941429695241699E-2</v>
      </c>
      <c r="E205" s="579">
        <v>3.1271017022641202E-4</v>
      </c>
      <c r="F205" s="579">
        <v>1.2739241104136199E-4</v>
      </c>
      <c r="G205" s="579">
        <v>1.14341374473062E-4</v>
      </c>
      <c r="H205" s="579">
        <v>1.7741455551555099E-4</v>
      </c>
      <c r="I205" s="579">
        <v>1.54906246188643E-4</v>
      </c>
      <c r="J205" s="579">
        <v>9.8850969352387394E-2</v>
      </c>
      <c r="K205">
        <v>-267769610.65799001</v>
      </c>
      <c r="L205">
        <v>-267769610.65799001</v>
      </c>
      <c r="M205">
        <v>-267769610.65799001</v>
      </c>
      <c r="N205">
        <v>638.13417331156097</v>
      </c>
    </row>
    <row r="206" spans="1:14" x14ac:dyDescent="0.15">
      <c r="A206" t="s">
        <v>469</v>
      </c>
      <c r="B206" t="s">
        <v>470</v>
      </c>
      <c r="C206" s="579" t="s">
        <v>434</v>
      </c>
      <c r="D206" s="579" t="s">
        <v>435</v>
      </c>
      <c r="E206" s="579" t="s">
        <v>591</v>
      </c>
      <c r="F206" s="579" t="s">
        <v>592</v>
      </c>
      <c r="G206" s="579" t="s">
        <v>599</v>
      </c>
      <c r="H206" s="579" t="s">
        <v>585</v>
      </c>
      <c r="I206" s="579" t="s">
        <v>573</v>
      </c>
      <c r="J206" s="579" t="s">
        <v>576</v>
      </c>
      <c r="K206" t="s">
        <v>593</v>
      </c>
      <c r="L206" t="s">
        <v>594</v>
      </c>
      <c r="M206" t="s">
        <v>594</v>
      </c>
      <c r="N206" t="s">
        <v>595</v>
      </c>
    </row>
    <row r="207" spans="1:14" x14ac:dyDescent="0.15">
      <c r="A207" t="s">
        <v>469</v>
      </c>
      <c r="B207" t="s">
        <v>471</v>
      </c>
      <c r="C207" s="579" t="s">
        <v>482</v>
      </c>
      <c r="D207" s="579" t="s">
        <v>482</v>
      </c>
      <c r="E207" s="579" t="s">
        <v>482</v>
      </c>
      <c r="F207" s="579" t="s">
        <v>482</v>
      </c>
      <c r="G207" s="579" t="s">
        <v>482</v>
      </c>
      <c r="H207" s="579" t="s">
        <v>482</v>
      </c>
      <c r="I207" s="579" t="s">
        <v>482</v>
      </c>
      <c r="J207" s="579" t="s">
        <v>482</v>
      </c>
      <c r="K207" t="s">
        <v>570</v>
      </c>
      <c r="L207" t="s">
        <v>570</v>
      </c>
      <c r="M207" t="s">
        <v>570</v>
      </c>
      <c r="N207" t="s">
        <v>570</v>
      </c>
    </row>
    <row r="208" spans="1:14" x14ac:dyDescent="0.15">
      <c r="A208" t="s">
        <v>469</v>
      </c>
      <c r="B208" t="s">
        <v>472</v>
      </c>
      <c r="C208" s="579" t="s">
        <v>483</v>
      </c>
      <c r="D208" s="579" t="s">
        <v>483</v>
      </c>
      <c r="E208" s="579" t="s">
        <v>483</v>
      </c>
      <c r="F208" s="579" t="s">
        <v>483</v>
      </c>
      <c r="G208" s="579" t="s">
        <v>483</v>
      </c>
      <c r="H208" s="579" t="s">
        <v>483</v>
      </c>
      <c r="I208" s="579" t="s">
        <v>483</v>
      </c>
      <c r="J208" s="579" t="s">
        <v>483</v>
      </c>
    </row>
    <row r="209" spans="1:14" x14ac:dyDescent="0.15">
      <c r="A209" t="s">
        <v>469</v>
      </c>
      <c r="B209" t="s">
        <v>473</v>
      </c>
      <c r="C209" s="579" t="s">
        <v>484</v>
      </c>
      <c r="D209" s="579" t="s">
        <v>484</v>
      </c>
      <c r="E209" s="579" t="s">
        <v>484</v>
      </c>
      <c r="F209" s="579" t="s">
        <v>484</v>
      </c>
      <c r="G209" s="579" t="s">
        <v>484</v>
      </c>
      <c r="H209" s="579" t="s">
        <v>484</v>
      </c>
      <c r="I209" s="579" t="s">
        <v>484</v>
      </c>
      <c r="J209" s="579" t="s">
        <v>484</v>
      </c>
      <c r="K209" t="s">
        <v>484</v>
      </c>
      <c r="L209" t="s">
        <v>484</v>
      </c>
      <c r="M209" t="s">
        <v>484</v>
      </c>
      <c r="N209" t="s">
        <v>484</v>
      </c>
    </row>
    <row r="210" spans="1:14" x14ac:dyDescent="0.15">
      <c r="A210" t="s">
        <v>469</v>
      </c>
      <c r="B210" t="s">
        <v>474</v>
      </c>
      <c r="C210" s="579">
        <v>3.1831957639896899E-4</v>
      </c>
      <c r="D210" s="579">
        <v>1.3372211691966601E-2</v>
      </c>
      <c r="E210" s="579">
        <v>2.9633667212676903E-4</v>
      </c>
      <c r="F210" s="579">
        <v>1.5366494586281301E-4</v>
      </c>
      <c r="G210" s="579">
        <v>1.9122027528856099E-4</v>
      </c>
      <c r="H210" s="579">
        <v>1.74670960248689E-4</v>
      </c>
      <c r="I210" s="579">
        <v>1.8373500169148701E-4</v>
      </c>
      <c r="J210" s="579">
        <v>5.9876815316219197E-2</v>
      </c>
      <c r="K210">
        <v>-162195592.311378</v>
      </c>
      <c r="L210">
        <v>-162195592.311378</v>
      </c>
      <c r="M210">
        <v>-162195592.311378</v>
      </c>
      <c r="N210">
        <v>385.93820954773798</v>
      </c>
    </row>
    <row r="211" spans="1:14" x14ac:dyDescent="0.15">
      <c r="A211" t="s">
        <v>469</v>
      </c>
      <c r="B211" t="s">
        <v>475</v>
      </c>
      <c r="C211" s="579">
        <v>0.66007396800274498</v>
      </c>
      <c r="D211" s="579">
        <v>6.53544845899708</v>
      </c>
      <c r="E211" s="579">
        <v>0.58014895150897805</v>
      </c>
      <c r="F211" s="579">
        <v>3.8065967822351201</v>
      </c>
      <c r="G211" s="579">
        <v>3.39852260063057</v>
      </c>
      <c r="H211" s="579">
        <v>3.6231516108238702</v>
      </c>
      <c r="I211" s="579">
        <v>3.77901728488767</v>
      </c>
      <c r="J211" s="579">
        <v>6.67533726494608</v>
      </c>
      <c r="K211">
        <v>-6.67533726494608</v>
      </c>
      <c r="L211">
        <v>-6.67533726494608</v>
      </c>
      <c r="M211">
        <v>-6.67533726494608</v>
      </c>
      <c r="N211">
        <v>16.218724534065402</v>
      </c>
    </row>
    <row r="212" spans="1:14" x14ac:dyDescent="0.15">
      <c r="A212" t="s">
        <v>469</v>
      </c>
      <c r="B212" t="s">
        <v>476</v>
      </c>
      <c r="C212" s="579">
        <v>2.1011446588662001E-6</v>
      </c>
      <c r="D212" s="579">
        <v>8.7393400295645901E-4</v>
      </c>
      <c r="E212" s="579">
        <v>1.71919409628005E-6</v>
      </c>
      <c r="F212" s="579">
        <v>5.84940488463721E-6</v>
      </c>
      <c r="G212" s="579">
        <v>6.4986642726697398E-6</v>
      </c>
      <c r="H212" s="579">
        <v>6.3285937098919204E-6</v>
      </c>
      <c r="I212" s="579">
        <v>6.9433774723099801E-6</v>
      </c>
      <c r="J212" s="579">
        <v>3.9969793658665197E-3</v>
      </c>
      <c r="K212">
        <v>10827102.815661401</v>
      </c>
      <c r="L212">
        <v>10827102.815661401</v>
      </c>
      <c r="M212">
        <v>10827102.815661401</v>
      </c>
      <c r="N212">
        <v>62.594255078251997</v>
      </c>
    </row>
    <row r="213" spans="1:14" x14ac:dyDescent="0.15">
      <c r="A213" t="s">
        <v>469</v>
      </c>
      <c r="B213" t="s">
        <v>477</v>
      </c>
      <c r="C213" s="579">
        <v>8.8558215757929499</v>
      </c>
      <c r="D213" s="579">
        <v>87.682242106582294</v>
      </c>
      <c r="E213" s="579">
        <v>7.7835149558958303</v>
      </c>
      <c r="F213" s="579">
        <v>51.070855008058203</v>
      </c>
      <c r="G213" s="579">
        <v>45.5959653484759</v>
      </c>
      <c r="H213" s="579">
        <v>48.6096797675402</v>
      </c>
      <c r="I213" s="579">
        <v>50.700837222933202</v>
      </c>
      <c r="J213" s="579">
        <v>89.559047382941699</v>
      </c>
      <c r="K213">
        <v>-89.559047382941699</v>
      </c>
      <c r="L213">
        <v>-89.559047382941699</v>
      </c>
      <c r="M213">
        <v>-89.559047382941699</v>
      </c>
      <c r="N213">
        <v>216.991745388227</v>
      </c>
    </row>
    <row r="214" spans="1:14" x14ac:dyDescent="0.15">
      <c r="A214" t="s">
        <v>469</v>
      </c>
      <c r="B214" t="s">
        <v>478</v>
      </c>
      <c r="C214" s="579">
        <v>2.8189813726712599E-5</v>
      </c>
      <c r="D214" s="579">
        <v>1.17250550307548E-2</v>
      </c>
      <c r="E214" s="579">
        <v>2.3065409194791099E-5</v>
      </c>
      <c r="F214" s="579">
        <v>7.84780016998087E-5</v>
      </c>
      <c r="G214" s="579">
        <v>8.7188730459832696E-5</v>
      </c>
      <c r="H214" s="579">
        <v>8.49069944237756E-5</v>
      </c>
      <c r="I214" s="579">
        <v>9.3155184129154698E-5</v>
      </c>
      <c r="J214" s="579">
        <v>5.3625105400449298E-2</v>
      </c>
      <c r="K214">
        <v>145260827.37119001</v>
      </c>
      <c r="L214">
        <v>145260827.37119001</v>
      </c>
      <c r="M214">
        <v>145260827.37119001</v>
      </c>
      <c r="N214">
        <v>837.45405701771404</v>
      </c>
    </row>
    <row r="215" spans="1:14" x14ac:dyDescent="0.15">
      <c r="A215" t="s">
        <v>469</v>
      </c>
      <c r="B215" t="s">
        <v>479</v>
      </c>
      <c r="C215" s="579" t="s">
        <v>600</v>
      </c>
      <c r="D215" s="579" t="s">
        <v>600</v>
      </c>
      <c r="E215" s="579" t="s">
        <v>600</v>
      </c>
      <c r="F215" s="579" t="s">
        <v>600</v>
      </c>
      <c r="G215" s="579" t="s">
        <v>600</v>
      </c>
      <c r="H215" s="579" t="s">
        <v>600</v>
      </c>
      <c r="I215" s="579" t="s">
        <v>600</v>
      </c>
      <c r="J215" s="579" t="s">
        <v>600</v>
      </c>
      <c r="K215" t="s">
        <v>600</v>
      </c>
      <c r="L215" t="s">
        <v>600</v>
      </c>
      <c r="M215" t="s">
        <v>600</v>
      </c>
      <c r="N215" t="s">
        <v>940</v>
      </c>
    </row>
    <row r="216" spans="1:14" x14ac:dyDescent="0.15">
      <c r="A216" t="s">
        <v>469</v>
      </c>
      <c r="B216" t="s">
        <v>480</v>
      </c>
      <c r="C216" s="579" t="s">
        <v>485</v>
      </c>
      <c r="D216" s="579" t="s">
        <v>485</v>
      </c>
      <c r="E216" s="579" t="s">
        <v>485</v>
      </c>
      <c r="F216" s="579" t="s">
        <v>485</v>
      </c>
      <c r="G216" s="579" t="s">
        <v>485</v>
      </c>
      <c r="H216" s="579" t="s">
        <v>485</v>
      </c>
      <c r="I216" s="579" t="s">
        <v>485</v>
      </c>
      <c r="J216" s="579" t="s">
        <v>485</v>
      </c>
      <c r="K216" t="s">
        <v>485</v>
      </c>
      <c r="L216" t="s">
        <v>485</v>
      </c>
      <c r="M216" t="s">
        <v>485</v>
      </c>
      <c r="N216" t="s">
        <v>485</v>
      </c>
    </row>
    <row r="217" spans="1:14" x14ac:dyDescent="0.15">
      <c r="A217" t="s">
        <v>469</v>
      </c>
      <c r="B217" t="s">
        <v>493</v>
      </c>
      <c r="C217" s="579"/>
      <c r="D217" s="579"/>
      <c r="E217" s="579"/>
      <c r="F217" s="579"/>
      <c r="G217" s="579"/>
      <c r="H217" s="579"/>
      <c r="I217" s="579"/>
      <c r="J217" s="579"/>
    </row>
    <row r="218" spans="1:14" x14ac:dyDescent="0.15">
      <c r="C218" s="579"/>
      <c r="D218" s="579"/>
      <c r="E218" s="579"/>
      <c r="F218" s="579"/>
      <c r="G218" s="579"/>
      <c r="H218" s="579"/>
      <c r="I218" s="579"/>
      <c r="J218" s="579"/>
    </row>
    <row r="219" spans="1:14" x14ac:dyDescent="0.15">
      <c r="C219" s="579"/>
      <c r="D219" s="579"/>
      <c r="E219" s="579"/>
      <c r="F219" s="579"/>
      <c r="G219" s="579"/>
      <c r="H219" s="579"/>
      <c r="I219" s="579"/>
      <c r="J219" s="579"/>
    </row>
    <row r="220" spans="1:14" x14ac:dyDescent="0.15">
      <c r="C220" s="579"/>
      <c r="D220" s="579"/>
      <c r="E220" s="579"/>
      <c r="F220" s="579"/>
      <c r="G220" s="579"/>
      <c r="H220" s="579"/>
      <c r="I220" s="579"/>
      <c r="J220" s="579"/>
    </row>
    <row r="221" spans="1:14" x14ac:dyDescent="0.15">
      <c r="C221" s="579"/>
      <c r="D221" s="579"/>
      <c r="E221" s="579"/>
      <c r="F221" s="579"/>
      <c r="G221" s="579"/>
      <c r="H221" s="579"/>
      <c r="I221" s="579"/>
      <c r="J221" s="579"/>
    </row>
    <row r="222" spans="1:14" x14ac:dyDescent="0.15">
      <c r="C222" s="579"/>
      <c r="D222" s="579"/>
      <c r="E222" s="579"/>
      <c r="F222" s="579"/>
      <c r="G222" s="579"/>
      <c r="H222" s="579"/>
      <c r="I222" s="579"/>
      <c r="J222" s="579"/>
    </row>
    <row r="223" spans="1:14" x14ac:dyDescent="0.15">
      <c r="C223" s="579"/>
      <c r="D223" s="579"/>
      <c r="E223" s="579"/>
      <c r="F223" s="579"/>
      <c r="G223" s="579"/>
      <c r="H223" s="579"/>
      <c r="I223" s="579"/>
      <c r="J223" s="579"/>
    </row>
    <row r="228" spans="3:10" x14ac:dyDescent="0.15">
      <c r="C228" s="579"/>
      <c r="D228" s="579"/>
      <c r="E228" s="579"/>
      <c r="F228" s="579"/>
      <c r="G228" s="579"/>
      <c r="H228" s="579"/>
      <c r="I228" s="579"/>
      <c r="J228" s="579"/>
    </row>
    <row r="229" spans="3:10" x14ac:dyDescent="0.15">
      <c r="C229" s="579"/>
      <c r="D229" s="579"/>
      <c r="E229" s="579"/>
      <c r="F229" s="579"/>
      <c r="G229" s="579"/>
      <c r="H229" s="579"/>
      <c r="I229" s="579"/>
      <c r="J229" s="579"/>
    </row>
    <row r="230" spans="3:10" x14ac:dyDescent="0.15">
      <c r="C230" s="579"/>
      <c r="D230" s="579"/>
      <c r="E230" s="579"/>
      <c r="F230" s="579"/>
      <c r="G230" s="579"/>
      <c r="H230" s="579"/>
      <c r="I230" s="579"/>
      <c r="J230" s="579"/>
    </row>
    <row r="231" spans="3:10" x14ac:dyDescent="0.15">
      <c r="C231" s="579"/>
      <c r="D231" s="579"/>
      <c r="E231" s="579"/>
      <c r="F231" s="579"/>
      <c r="G231" s="579"/>
      <c r="H231" s="579"/>
      <c r="I231" s="579"/>
      <c r="J231" s="579"/>
    </row>
    <row r="232" spans="3:10" x14ac:dyDescent="0.15">
      <c r="C232" s="579"/>
      <c r="D232" s="579"/>
      <c r="E232" s="579"/>
      <c r="F232" s="579"/>
      <c r="G232" s="579"/>
      <c r="H232" s="579"/>
      <c r="I232" s="579"/>
      <c r="J232" s="579"/>
    </row>
  </sheetData>
  <pageMargins left="0.75" right="0.75" top="1" bottom="1" header="0.4921259845" footer="0.4921259845"/>
  <pageSetup paperSize="9" orientation="portrait" horizontalDpi="4294967293"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sheetPr>
  <dimension ref="A1:H45"/>
  <sheetViews>
    <sheetView topLeftCell="A31" zoomScaleNormal="100" workbookViewId="0">
      <selection activeCell="B1" sqref="B1"/>
    </sheetView>
  </sheetViews>
  <sheetFormatPr baseColWidth="10" defaultColWidth="8.6640625" defaultRowHeight="13" x14ac:dyDescent="0.15"/>
  <cols>
    <col min="1" max="1" width="4.5" customWidth="1"/>
    <col min="2" max="2" width="40.6640625" bestFit="1" customWidth="1"/>
    <col min="3" max="3" width="69.5" bestFit="1" customWidth="1"/>
    <col min="4" max="4" width="5.6640625" customWidth="1"/>
  </cols>
  <sheetData>
    <row r="1" spans="1:4" ht="30" customHeight="1" x14ac:dyDescent="0.2">
      <c r="A1" s="55"/>
      <c r="B1" s="215" t="s">
        <v>259</v>
      </c>
      <c r="C1" s="55"/>
      <c r="D1" s="55"/>
    </row>
    <row r="2" spans="1:4" x14ac:dyDescent="0.15">
      <c r="A2" s="55"/>
      <c r="B2" s="210"/>
      <c r="C2" s="55"/>
      <c r="D2" s="55"/>
    </row>
    <row r="3" spans="1:4" ht="17" x14ac:dyDescent="0.15">
      <c r="A3" s="55"/>
      <c r="B3" s="207" t="s">
        <v>227</v>
      </c>
      <c r="C3" s="208"/>
      <c r="D3" s="55"/>
    </row>
    <row r="4" spans="1:4" ht="34" x14ac:dyDescent="0.15">
      <c r="A4" s="55"/>
      <c r="B4" s="209" t="s">
        <v>228</v>
      </c>
      <c r="C4" s="209" t="s">
        <v>266</v>
      </c>
      <c r="D4" s="55"/>
    </row>
    <row r="5" spans="1:4" ht="17" x14ac:dyDescent="0.15">
      <c r="A5" s="55"/>
      <c r="B5" s="209" t="s">
        <v>229</v>
      </c>
      <c r="C5" s="209" t="s">
        <v>248</v>
      </c>
      <c r="D5" s="55"/>
    </row>
    <row r="6" spans="1:4" ht="17" x14ac:dyDescent="0.15">
      <c r="A6" s="55"/>
      <c r="B6" s="209" t="s">
        <v>230</v>
      </c>
      <c r="C6" s="209" t="s">
        <v>256</v>
      </c>
      <c r="D6" s="55"/>
    </row>
    <row r="7" spans="1:4" ht="17" x14ac:dyDescent="0.15">
      <c r="A7" s="55"/>
      <c r="B7" s="209" t="s">
        <v>231</v>
      </c>
      <c r="C7" s="209" t="s">
        <v>263</v>
      </c>
      <c r="D7" s="55"/>
    </row>
    <row r="8" spans="1:4" ht="17" x14ac:dyDescent="0.15">
      <c r="A8" s="55"/>
      <c r="B8" s="207" t="s">
        <v>232</v>
      </c>
      <c r="C8" s="208"/>
      <c r="D8" s="55"/>
    </row>
    <row r="9" spans="1:4" ht="17" x14ac:dyDescent="0.2">
      <c r="A9" s="55"/>
      <c r="B9" s="209" t="s">
        <v>233</v>
      </c>
      <c r="C9" s="211" t="s">
        <v>250</v>
      </c>
      <c r="D9" s="55"/>
    </row>
    <row r="10" spans="1:4" ht="17" x14ac:dyDescent="0.15">
      <c r="A10" s="55"/>
      <c r="B10" s="209" t="s">
        <v>261</v>
      </c>
      <c r="C10" s="209" t="s">
        <v>264</v>
      </c>
      <c r="D10" s="55"/>
    </row>
    <row r="11" spans="1:4" ht="17" x14ac:dyDescent="0.15">
      <c r="A11" s="55"/>
      <c r="B11" s="209" t="s">
        <v>267</v>
      </c>
      <c r="C11" s="209" t="s">
        <v>234</v>
      </c>
      <c r="D11" s="55"/>
    </row>
    <row r="12" spans="1:4" ht="17" x14ac:dyDescent="0.15">
      <c r="A12" s="55"/>
      <c r="B12" s="209" t="s">
        <v>268</v>
      </c>
      <c r="C12" s="209" t="s">
        <v>249</v>
      </c>
      <c r="D12" s="55"/>
    </row>
    <row r="13" spans="1:4" ht="19" x14ac:dyDescent="0.15">
      <c r="A13" s="55"/>
      <c r="B13" s="209" t="s">
        <v>269</v>
      </c>
      <c r="C13" s="209" t="s">
        <v>257</v>
      </c>
      <c r="D13" s="55"/>
    </row>
    <row r="14" spans="1:4" ht="17" x14ac:dyDescent="0.15">
      <c r="A14" s="55"/>
      <c r="B14" s="209" t="s">
        <v>270</v>
      </c>
      <c r="C14" s="209" t="s">
        <v>265</v>
      </c>
      <c r="D14" s="55"/>
    </row>
    <row r="15" spans="1:4" ht="17" x14ac:dyDescent="0.15">
      <c r="A15" s="55"/>
      <c r="B15" s="209" t="s">
        <v>295</v>
      </c>
      <c r="C15" s="209" t="s">
        <v>296</v>
      </c>
      <c r="D15" s="55"/>
    </row>
    <row r="16" spans="1:4" ht="17" x14ac:dyDescent="0.15">
      <c r="A16" s="55"/>
      <c r="B16" s="209" t="s">
        <v>271</v>
      </c>
      <c r="C16" s="209" t="s">
        <v>292</v>
      </c>
      <c r="D16" s="55"/>
    </row>
    <row r="17" spans="1:4" ht="17" x14ac:dyDescent="0.15">
      <c r="A17" s="55"/>
      <c r="B17" s="209" t="s">
        <v>251</v>
      </c>
      <c r="C17" s="209" t="s">
        <v>262</v>
      </c>
      <c r="D17" s="55"/>
    </row>
    <row r="18" spans="1:4" ht="17" x14ac:dyDescent="0.15">
      <c r="A18" s="55"/>
      <c r="B18" s="209" t="s">
        <v>272</v>
      </c>
      <c r="C18" s="209" t="s">
        <v>273</v>
      </c>
      <c r="D18" s="55"/>
    </row>
    <row r="19" spans="1:4" ht="17" x14ac:dyDescent="0.15">
      <c r="A19" s="55"/>
      <c r="B19" s="209" t="s">
        <v>274</v>
      </c>
      <c r="C19" s="209" t="s">
        <v>235</v>
      </c>
      <c r="D19" s="55"/>
    </row>
    <row r="20" spans="1:4" ht="17" x14ac:dyDescent="0.15">
      <c r="A20" s="55"/>
      <c r="B20" s="209" t="s">
        <v>279</v>
      </c>
      <c r="C20" s="209" t="s">
        <v>278</v>
      </c>
      <c r="D20" s="55"/>
    </row>
    <row r="21" spans="1:4" ht="17" x14ac:dyDescent="0.15">
      <c r="A21" s="55"/>
      <c r="B21" s="209" t="s">
        <v>280</v>
      </c>
      <c r="C21" s="214" t="s">
        <v>282</v>
      </c>
      <c r="D21" s="55"/>
    </row>
    <row r="22" spans="1:4" ht="17" x14ac:dyDescent="0.15">
      <c r="A22" s="55"/>
      <c r="B22" s="207" t="s">
        <v>236</v>
      </c>
      <c r="C22" s="208"/>
      <c r="D22" s="55"/>
    </row>
    <row r="23" spans="1:4" ht="17" x14ac:dyDescent="0.15">
      <c r="A23" s="55"/>
      <c r="B23" s="209" t="s">
        <v>233</v>
      </c>
      <c r="C23" s="209" t="s">
        <v>252</v>
      </c>
      <c r="D23" s="55"/>
    </row>
    <row r="24" spans="1:4" ht="17" x14ac:dyDescent="0.15">
      <c r="A24" s="55"/>
      <c r="B24" s="209" t="s">
        <v>237</v>
      </c>
      <c r="C24" s="209" t="s">
        <v>258</v>
      </c>
      <c r="D24" s="55"/>
    </row>
    <row r="25" spans="1:4" ht="17" x14ac:dyDescent="0.15">
      <c r="A25" s="55"/>
      <c r="B25" s="209" t="s">
        <v>275</v>
      </c>
      <c r="C25" s="209" t="s">
        <v>254</v>
      </c>
      <c r="D25" s="55"/>
    </row>
    <row r="26" spans="1:4" ht="68" x14ac:dyDescent="0.15">
      <c r="A26" s="55"/>
      <c r="B26" s="209" t="s">
        <v>238</v>
      </c>
      <c r="C26" s="209" t="s">
        <v>298</v>
      </c>
      <c r="D26" s="55"/>
    </row>
    <row r="27" spans="1:4" ht="17" x14ac:dyDescent="0.15">
      <c r="A27" s="55"/>
      <c r="B27" s="209" t="s">
        <v>239</v>
      </c>
      <c r="C27" s="209" t="s">
        <v>253</v>
      </c>
      <c r="D27" s="55"/>
    </row>
    <row r="28" spans="1:4" ht="17" x14ac:dyDescent="0.15">
      <c r="A28" s="55"/>
      <c r="B28" s="209" t="s">
        <v>289</v>
      </c>
      <c r="C28" s="214" t="s">
        <v>290</v>
      </c>
      <c r="D28" s="55"/>
    </row>
    <row r="29" spans="1:4" ht="17" x14ac:dyDescent="0.15">
      <c r="A29" s="55"/>
      <c r="B29" s="212" t="s">
        <v>285</v>
      </c>
      <c r="C29" s="214" t="s">
        <v>286</v>
      </c>
      <c r="D29" s="55"/>
    </row>
    <row r="30" spans="1:4" ht="17" x14ac:dyDescent="0.15">
      <c r="A30" s="55"/>
      <c r="B30" s="212" t="s">
        <v>291</v>
      </c>
      <c r="C30" s="214" t="s">
        <v>284</v>
      </c>
      <c r="D30" s="55"/>
    </row>
    <row r="31" spans="1:4" ht="17" x14ac:dyDescent="0.15">
      <c r="A31" s="55"/>
      <c r="B31" s="212" t="s">
        <v>287</v>
      </c>
      <c r="C31" s="214" t="s">
        <v>288</v>
      </c>
      <c r="D31" s="55"/>
    </row>
    <row r="32" spans="1:4" ht="17" x14ac:dyDescent="0.15">
      <c r="A32" s="55"/>
      <c r="B32" s="212" t="s">
        <v>293</v>
      </c>
      <c r="C32" s="214" t="s">
        <v>297</v>
      </c>
      <c r="D32" s="55"/>
    </row>
    <row r="33" spans="1:8" ht="17" x14ac:dyDescent="0.15">
      <c r="A33" s="55"/>
      <c r="B33" s="209" t="s">
        <v>277</v>
      </c>
      <c r="C33" s="214" t="s">
        <v>283</v>
      </c>
      <c r="D33" s="55"/>
    </row>
    <row r="34" spans="1:8" ht="17" x14ac:dyDescent="0.15">
      <c r="A34" s="55"/>
      <c r="B34" s="207" t="s">
        <v>240</v>
      </c>
      <c r="C34" s="208"/>
      <c r="D34" s="55"/>
    </row>
    <row r="35" spans="1:8" ht="17" x14ac:dyDescent="0.15">
      <c r="A35" s="55"/>
      <c r="B35" s="209" t="s">
        <v>241</v>
      </c>
      <c r="C35" s="209" t="s">
        <v>281</v>
      </c>
      <c r="D35" s="55"/>
    </row>
    <row r="36" spans="1:8" ht="51" x14ac:dyDescent="0.15">
      <c r="A36" s="55"/>
      <c r="B36" s="209" t="s">
        <v>242</v>
      </c>
      <c r="C36" s="209" t="s">
        <v>391</v>
      </c>
      <c r="D36" s="55"/>
    </row>
    <row r="37" spans="1:8" ht="34" x14ac:dyDescent="0.15">
      <c r="A37" s="55"/>
      <c r="B37" s="212" t="s">
        <v>294</v>
      </c>
      <c r="C37" s="209" t="s">
        <v>390</v>
      </c>
      <c r="D37" s="55"/>
    </row>
    <row r="38" spans="1:8" ht="51" x14ac:dyDescent="0.15">
      <c r="A38" s="55"/>
      <c r="B38" s="209" t="s">
        <v>260</v>
      </c>
      <c r="C38" s="209" t="s">
        <v>255</v>
      </c>
      <c r="D38" s="55"/>
    </row>
    <row r="39" spans="1:8" ht="17" x14ac:dyDescent="0.15">
      <c r="A39" s="55"/>
      <c r="B39" s="209" t="s">
        <v>243</v>
      </c>
      <c r="C39" s="209" t="e">
        <f>F40 &amp; "Pb/" &amp; G40 &amp; "Pb (" &amp; ROUND(100*Tb1MassBias,2) &amp;"%) and " &amp; G40 &amp; "Pb/" &amp;H40&amp;"U ("&amp; ROUND(100*Tb1MassBias68,2) &amp;"5%) normalised to primary RM."</f>
        <v>#NAME?</v>
      </c>
      <c r="D39" s="55"/>
    </row>
    <row r="40" spans="1:8" ht="17" x14ac:dyDescent="0.2">
      <c r="A40" s="55"/>
      <c r="B40" s="209" t="s">
        <v>276</v>
      </c>
      <c r="C40" s="209" t="s">
        <v>244</v>
      </c>
      <c r="D40" s="55"/>
      <c r="F40" s="346" t="s">
        <v>387</v>
      </c>
      <c r="G40" s="346" t="s">
        <v>388</v>
      </c>
      <c r="H40" s="346" t="s">
        <v>389</v>
      </c>
    </row>
    <row r="41" spans="1:8" ht="119" x14ac:dyDescent="0.2">
      <c r="A41" s="55"/>
      <c r="B41" s="209" t="s">
        <v>245</v>
      </c>
      <c r="C41" s="209" t="str">
        <f>"Uncertainties are quoted at 2δ absolute and are propagated by quadratic addition of the within run precision"&amp;IF(LogRat," (SD of the mean of ratios in log-ratio space)")&amp;IF(Tb1CtStat,", counting statistics")&amp;IF(Tb1Bck,", background")&amp;", common Pb correction (if applicable) and the excess of scatter (calculated from the primary RM). In addition, an excess of variance of "&amp;ROUND(Tb1ExSct,2)&amp;" % (1δ), calculated from the offset RM, was added quadratically to the " &amp; G40 &amp; "Pb/" &amp; H40 &amp; "U ratios. Systematic uncertainties are reported as an expanded uncertainty, considering long term reproducibility ("&amp;'Tab1'!AI31&amp;"%, 2δ)" &amp; IF(Tb1PropDecayErr," and decay constant uncertainties") &amp; "."</f>
        <v>Uncertainties are quoted at 2δ absolute and are propagated by quadratic addition of the within run precision (SD of the mean of ratios in log-ratio space), counting statistics, background, common Pb correction (if applicable) and the excess of scatter (calculated from the primary RM). In addition, an excess of variance of 0 % (1δ), calculated from the offset RM, was added quadratically to the ²⁰⁶Pb/²³⁸U ratios. Systematic uncertainties are reported as an expanded uncertainty, considering long term reproducibility (1.5%, 2δ)FALSE.</v>
      </c>
      <c r="D41" s="55"/>
      <c r="F41" s="346"/>
    </row>
    <row r="42" spans="1:8" ht="221" x14ac:dyDescent="0.2">
      <c r="A42" s="55"/>
      <c r="B42" s="212" t="s">
        <v>246</v>
      </c>
      <c r="C42" s="213" t="s">
        <v>309</v>
      </c>
      <c r="D42" s="55"/>
      <c r="H42" s="346"/>
    </row>
    <row r="43" spans="1:8" ht="17" x14ac:dyDescent="0.15">
      <c r="A43" s="55"/>
      <c r="B43" s="207" t="s">
        <v>247</v>
      </c>
      <c r="C43" s="214"/>
      <c r="D43" s="55"/>
    </row>
    <row r="44" spans="1:8" ht="23.25" customHeight="1" x14ac:dyDescent="0.15">
      <c r="A44" s="55"/>
      <c r="B44" s="210"/>
      <c r="C44" s="55"/>
      <c r="D44" s="55"/>
    </row>
    <row r="45" spans="1:8" x14ac:dyDescent="0.15">
      <c r="B45" s="206"/>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
    <pageSetUpPr autoPageBreaks="0"/>
  </sheetPr>
  <dimension ref="B1:AC85"/>
  <sheetViews>
    <sheetView showGridLines="0" zoomScaleNormal="100" workbookViewId="0">
      <selection activeCell="T3" sqref="T3"/>
    </sheetView>
  </sheetViews>
  <sheetFormatPr baseColWidth="10" defaultColWidth="11.5" defaultRowHeight="13" x14ac:dyDescent="0.15"/>
  <cols>
    <col min="1" max="1" width="3.6640625" customWidth="1"/>
    <col min="2" max="2" width="17" customWidth="1"/>
    <col min="3" max="3" width="10.6640625" customWidth="1"/>
    <col min="4" max="4" width="10.6640625" style="121" customWidth="1"/>
    <col min="5" max="23" width="10.6640625" customWidth="1"/>
    <col min="24" max="24" width="8.33203125" bestFit="1" customWidth="1"/>
    <col min="25" max="25" width="12.5" bestFit="1" customWidth="1"/>
    <col min="26" max="26" width="6" bestFit="1" customWidth="1"/>
  </cols>
  <sheetData>
    <row r="1" spans="2:29" ht="31.5" customHeight="1" x14ac:dyDescent="0.15">
      <c r="B1" s="117"/>
      <c r="C1" s="118" t="s">
        <v>48</v>
      </c>
      <c r="D1" s="119"/>
      <c r="E1" s="119"/>
      <c r="F1" s="119"/>
      <c r="G1" s="119"/>
      <c r="H1" s="119"/>
      <c r="I1" s="119"/>
      <c r="J1" s="119"/>
      <c r="K1" s="119"/>
      <c r="L1" s="119"/>
      <c r="M1" s="119"/>
      <c r="N1" s="119"/>
      <c r="O1" s="119"/>
      <c r="P1" s="119"/>
      <c r="Q1" s="119"/>
      <c r="R1" s="119"/>
      <c r="S1" s="119"/>
      <c r="T1" s="120"/>
    </row>
    <row r="2" spans="2:29" x14ac:dyDescent="0.15">
      <c r="G2" s="116"/>
      <c r="I2" s="121"/>
    </row>
    <row r="3" spans="2:29" x14ac:dyDescent="0.15">
      <c r="B3" s="142" t="s">
        <v>213</v>
      </c>
      <c r="C3" s="123"/>
      <c r="D3" s="180">
        <v>0</v>
      </c>
      <c r="E3" s="124"/>
      <c r="F3" s="125" t="s">
        <v>49</v>
      </c>
      <c r="G3" s="126" t="s">
        <v>50</v>
      </c>
      <c r="H3" s="179" t="s">
        <v>51</v>
      </c>
      <c r="I3" s="176" t="s">
        <v>218</v>
      </c>
      <c r="K3" t="s">
        <v>589</v>
      </c>
      <c r="L3" s="32">
        <f ca="1">IFERROR(INDIRECT(ADDRESS(MATCH(FirstLine+15,RawEntrie,0)+ROW(RawEntrie)+ROW()-20,3)),"")-$P$9</f>
        <v>0</v>
      </c>
      <c r="M3" s="32">
        <f ca="1">IFERROR(INDIRECT(ADDRESS(MATCH(FirstLine+15,RawEntrie,0)+ROW(RawEntrie)+ROW()-20,4)),"")</f>
        <v>0</v>
      </c>
      <c r="N3" s="32">
        <f ca="1">IFERROR(INDIRECT(ADDRESS(MATCH(FirstLine+15,RawEntrie,0)+ROW(RawEntrie)+ROW()-20,5)),"")-$P$11</f>
        <v>0</v>
      </c>
      <c r="O3" s="183" t="str">
        <f>IFERROR(((_10Bmass-$P$2)*(($A3)-($C3))/($P$2-$P$4)+$A3),"")</f>
        <v/>
      </c>
      <c r="P3" s="32">
        <f ca="1">IFERROR(INDIRECT(ADDRESS(MATCH(FirstLine+15,RawEntrie,0)+ROW(RawEntrie)+ROW()-20,7)),"")</f>
        <v>0</v>
      </c>
      <c r="Q3" s="32">
        <f ca="1">IFERROR(INDIRECT(ADDRESS(MATCH(FirstLine+15,RawEntrie,0)+ROW(RawEntrie)+ROW()-20,19)),"")</f>
        <v>0</v>
      </c>
      <c r="R3" s="531">
        <f ca="1">IFERROR(_10B-$P$10-_10Bbul,"")</f>
        <v>1597135.3754009563</v>
      </c>
      <c r="S3" s="532">
        <f ca="1">IFERROR(_11B-$P$13-_11Bbul,"")</f>
        <v>7246105.7216607556</v>
      </c>
      <c r="T3" s="31">
        <f ca="1">IFERROR(INDIRECT(ADDRESS(MATCH(FirstLine+15,RawEntrie,0)+ROW(RawEntrie)+ROW()-20,1)),"")</f>
        <v>0</v>
      </c>
    </row>
    <row r="4" spans="2:29" x14ac:dyDescent="0.15">
      <c r="B4" s="132" t="s">
        <v>214</v>
      </c>
      <c r="C4" s="136"/>
      <c r="D4" s="181">
        <v>0</v>
      </c>
      <c r="E4" s="128" t="s">
        <v>53</v>
      </c>
      <c r="F4" s="129" t="s">
        <v>533</v>
      </c>
      <c r="G4" s="130" t="b">
        <v>0</v>
      </c>
      <c r="H4" s="177" t="b">
        <v>1</v>
      </c>
      <c r="I4" s="198" t="b">
        <v>0</v>
      </c>
    </row>
    <row r="5" spans="2:29" x14ac:dyDescent="0.15">
      <c r="B5" s="132" t="s">
        <v>215</v>
      </c>
      <c r="C5" s="136" t="s">
        <v>422</v>
      </c>
      <c r="E5" s="128" t="s">
        <v>54</v>
      </c>
      <c r="F5" s="129" t="s">
        <v>534</v>
      </c>
      <c r="G5" s="130" t="b">
        <v>0</v>
      </c>
      <c r="H5" s="177" t="b">
        <v>1</v>
      </c>
      <c r="I5" s="131" t="b">
        <v>0</v>
      </c>
      <c r="AA5" s="79"/>
    </row>
    <row r="6" spans="2:29" x14ac:dyDescent="0.15">
      <c r="B6" s="132" t="s">
        <v>216</v>
      </c>
      <c r="C6" s="175" t="s">
        <v>306</v>
      </c>
      <c r="E6" s="128" t="s">
        <v>56</v>
      </c>
      <c r="F6" s="129" t="s">
        <v>535</v>
      </c>
      <c r="G6" s="130" t="b">
        <v>0</v>
      </c>
      <c r="H6" s="177" t="b">
        <v>1</v>
      </c>
      <c r="I6" s="131" t="b">
        <v>0</v>
      </c>
      <c r="L6" s="32"/>
      <c r="M6" s="32"/>
      <c r="N6" s="32"/>
      <c r="O6" s="394"/>
      <c r="P6" s="32"/>
      <c r="Q6" s="322"/>
      <c r="R6" s="531"/>
      <c r="S6" s="532"/>
      <c r="T6" s="31"/>
    </row>
    <row r="7" spans="2:29" x14ac:dyDescent="0.15">
      <c r="B7" s="128" t="s">
        <v>55</v>
      </c>
      <c r="C7" s="136">
        <v>1</v>
      </c>
      <c r="E7" s="128" t="s">
        <v>57</v>
      </c>
      <c r="F7" s="129" t="s">
        <v>572</v>
      </c>
      <c r="G7" s="130" t="b">
        <v>0</v>
      </c>
      <c r="H7" s="177" t="b">
        <v>1</v>
      </c>
      <c r="I7" s="131" t="b">
        <v>0</v>
      </c>
      <c r="K7" t="s">
        <v>530</v>
      </c>
      <c r="L7" s="32">
        <f ca="1">IFERROR(INDIRECT(ADDRESS(MATCH(FirstLine+15,RawEntrie,0)+ROW(RawEntrie)+ROW()-20,3)),"")-$P$9</f>
        <v>0</v>
      </c>
      <c r="M7" s="32">
        <f ca="1">IFERROR(INDIRECT(ADDRESS(MATCH(FirstLine+15,RawEntrie,0)+ROW(RawEntrie)+ROW()-20,4)),"")</f>
        <v>0</v>
      </c>
      <c r="N7" s="32">
        <f ca="1">IFERROR(INDIRECT(ADDRESS(MATCH(FirstLine+15,RawEntrie,0)+ROW(RawEntrie)+ROW()-20,5)),"")-$P$11</f>
        <v>0</v>
      </c>
      <c r="O7" s="183" t="str">
        <f>IFERROR(((_10Bmass-$P$2)*(($A7)-($C7))/($P$2-$P$4)+$A7),"")</f>
        <v/>
      </c>
      <c r="P7" s="32">
        <f ca="1">IFERROR(INDIRECT(ADDRESS(MATCH(FirstLine+15,RawEntrie,0)+ROW(RawEntrie)+ROW()-20,7)),"")</f>
        <v>0</v>
      </c>
      <c r="Q7" s="32">
        <f ca="1">IFERROR(INDIRECT(ADDRESS(MATCH(FirstLine+15,RawEntrie,0)+ROW(RawEntrie)+ROW()-20,19)),"")</f>
        <v>0</v>
      </c>
      <c r="T7" s="31">
        <f ca="1">IFERROR(INDIRECT(ADDRESS(MATCH(FirstLine+15,RawEntrie,0)+ROW(RawEntrie)+ROW()-20,1)),"")</f>
        <v>0</v>
      </c>
      <c r="AA7" s="73"/>
      <c r="AB7" s="133"/>
      <c r="AC7" s="48"/>
    </row>
    <row r="8" spans="2:29" x14ac:dyDescent="0.15">
      <c r="B8" s="143" t="s">
        <v>217</v>
      </c>
      <c r="C8" s="193"/>
      <c r="E8" s="128" t="s">
        <v>58</v>
      </c>
      <c r="F8" s="129" t="s">
        <v>9</v>
      </c>
      <c r="G8" s="130" t="b">
        <v>0</v>
      </c>
      <c r="H8" s="177" t="b">
        <v>0</v>
      </c>
      <c r="I8" s="131" t="b">
        <v>0</v>
      </c>
      <c r="K8" t="s">
        <v>565</v>
      </c>
      <c r="L8" s="32">
        <f ca="1">IFERROR(INDIRECT(ADDRESS(MATCH(FirstLine+15,RawEntrie,0)+ROW(RawEntrie)+ROW()-20,3))/(1-(INDIRECT(ADDRESS(MATCH(FirstLine+15,RawEntrie,0)+ROW(RawEntrie)+ROW()-20,3)))*DeadTime/10^9),"")-$P$9</f>
        <v>0</v>
      </c>
      <c r="M8" s="32">
        <f ca="1">IFERROR(INDIRECT(ADDRESS(MATCH(FirstLine+15,RawEntrie,0)+ROW(RawEntrie)+ROW()-20,4))/(1-(INDIRECT(ADDRESS(MATCH(FirstLine+15,RawEntrie,0)+ROW(RawEntrie)+ROW()-20,4)))*DeadTime/10^9),"")</f>
        <v>0</v>
      </c>
      <c r="N8" s="32">
        <f ca="1">IFERROR(INDIRECT(ADDRESS(MATCH(FirstLine+15,RawEntrie,0)+ROW(RawEntrie)+ROW()-20,5))/(1-(INDIRECT(ADDRESS(MATCH(FirstLine+15,RawEntrie,0)+ROW(RawEntrie)+ROW()-20,5)))*DeadTime/10^9),"")-$P$11</f>
        <v>0</v>
      </c>
      <c r="O8" s="394">
        <f ca="1">IFERROR(((_10Bmass-9.98)*($A8-$C8)/(9.98-10.12)+$A8),"")*$P$3</f>
        <v>0</v>
      </c>
      <c r="P8" s="32">
        <f ca="1">IFERROR(INDIRECT(ADDRESS(MATCH(FirstLine+15,RawEntrie,0)+ROW(RawEntrie)+ROW()-20,7))/(1-(INDIRECT(ADDRESS(MATCH(FirstLine+15,RawEntrie,0)+ROW(RawEntrie)+ROW()-20,7)))*DeadTime/10^9),"")</f>
        <v>0</v>
      </c>
      <c r="Q8" s="322">
        <f ca="1">IFERROR(_10B-$P$10,"")</f>
        <v>1619806.5600069351</v>
      </c>
      <c r="R8" s="531">
        <f ca="1">IFERROR(_10B-$P$10,"")</f>
        <v>1619806.5600069351</v>
      </c>
      <c r="S8" s="532">
        <f ca="1">IFERROR(_11B-$P$13,"")</f>
        <v>7337587.5009848112</v>
      </c>
      <c r="T8" s="31">
        <f ca="1">IFERROR(INDIRECT(ADDRESS(MATCH(FirstLine+15,RawEntrie,0)+ROW(RawEntrie)+ROW()-20,1)),"")</f>
        <v>0</v>
      </c>
      <c r="AA8" s="139"/>
      <c r="AB8" s="133"/>
      <c r="AC8" s="48"/>
    </row>
    <row r="9" spans="2:29" ht="14" x14ac:dyDescent="0.15">
      <c r="B9" s="142" t="s">
        <v>222</v>
      </c>
      <c r="C9" s="199" t="s">
        <v>105</v>
      </c>
      <c r="D9"/>
      <c r="E9" s="128" t="s">
        <v>59</v>
      </c>
      <c r="F9" s="129" t="s">
        <v>9</v>
      </c>
      <c r="G9" s="130" t="b">
        <v>0</v>
      </c>
      <c r="H9" s="177" t="b">
        <v>0</v>
      </c>
      <c r="I9" s="131" t="b">
        <v>0</v>
      </c>
      <c r="L9" s="302">
        <f ca="1">IFERROR((_11Bback)/(_10Bcorr),"")</f>
        <v>4.5675331720558159</v>
      </c>
      <c r="M9" s="46">
        <f ca="1">IFERROR((_11Bback)/(_10Bback),"")</f>
        <v>4.5681507360263121</v>
      </c>
      <c r="N9" s="440"/>
      <c r="O9" s="441"/>
      <c r="Y9" s="442"/>
      <c r="Z9" s="67"/>
      <c r="AA9" s="48"/>
      <c r="AB9" s="133"/>
      <c r="AC9" s="48"/>
    </row>
    <row r="10" spans="2:29" x14ac:dyDescent="0.15">
      <c r="B10" s="132" t="s">
        <v>221</v>
      </c>
      <c r="C10" s="200" t="s">
        <v>575</v>
      </c>
      <c r="D10"/>
      <c r="E10" s="128" t="s">
        <v>60</v>
      </c>
      <c r="F10" s="129" t="s">
        <v>536</v>
      </c>
      <c r="G10" s="130" t="b">
        <v>0</v>
      </c>
      <c r="H10" s="178" t="b">
        <v>1</v>
      </c>
      <c r="I10" s="131" t="b">
        <v>0</v>
      </c>
      <c r="K10" t="s">
        <v>571</v>
      </c>
      <c r="L10" s="32">
        <f ca="1">IFERROR(INDIRECT(ADDRESS(MATCH(FirstLine+15,RawEntrie,0)+ROW(RawEntrie)+ROW()-20,3)),"")-$P$9</f>
        <v>0</v>
      </c>
      <c r="M10" s="32">
        <f ca="1">IFERROR(INDIRECT(ADDRESS(MATCH(FirstLine+15,RawEntrie,0)+ROW(RawEntrie)+ROW()-20,4)),"")</f>
        <v>0</v>
      </c>
      <c r="N10" s="32">
        <f ca="1">IFERROR(INDIRECT(ADDRESS(MATCH(FirstLine+15,RawEntrie,0)+ROW(RawEntrie)+ROW()-20,5)),"")-$P$11</f>
        <v>0</v>
      </c>
      <c r="O10" s="183" t="str">
        <f>IFERROR(((_10Bmass-$P$2)*(($A10)-($C10))/($P$2-$P$4)+$A10),"")</f>
        <v/>
      </c>
      <c r="P10" s="32">
        <f ca="1">IFERROR(INDIRECT(ADDRESS(MATCH(FirstLine+15,RawEntrie,0)+ROW(RawEntrie)+ROW()-20,7)),"")</f>
        <v>0</v>
      </c>
      <c r="Q10" s="32">
        <f ca="1">IFERROR(INDIRECT(ADDRESS(MATCH(FirstLine+15,RawEntrie,0)+ROW(RawEntrie)+ROW()-20,19)),"")</f>
        <v>0</v>
      </c>
      <c r="R10" s="531">
        <f ca="1">IFERROR(_10B-$P$10,"")</f>
        <v>1661890.2387603859</v>
      </c>
      <c r="S10" s="532">
        <f ca="1">IFERROR(_11B-$P$13-_11Bbul-$O$1,"")</f>
        <v>7520272.4412737461</v>
      </c>
      <c r="T10" s="31">
        <f ca="1">IFERROR(INDIRECT(ADDRESS(MATCH(FirstLine+15,RawEntrie,0)+ROW(RawEntrie)+ROW()-20,1)),"")</f>
        <v>0</v>
      </c>
      <c r="Y10" s="442"/>
      <c r="Z10" s="67"/>
      <c r="AA10" s="73"/>
      <c r="AB10" s="165"/>
      <c r="AC10" s="48"/>
    </row>
    <row r="11" spans="2:29" ht="14" x14ac:dyDescent="0.15">
      <c r="B11" s="132" t="s">
        <v>223</v>
      </c>
      <c r="C11" s="200" t="s">
        <v>414</v>
      </c>
      <c r="D11"/>
      <c r="E11" s="132" t="s">
        <v>220</v>
      </c>
      <c r="F11" s="195" t="s">
        <v>536</v>
      </c>
      <c r="G11" s="194" t="b">
        <v>1</v>
      </c>
      <c r="H11" s="278" t="b">
        <v>0</v>
      </c>
      <c r="I11" s="140" t="b">
        <v>0</v>
      </c>
      <c r="N11" s="440" t="str">
        <f>IF(L11&gt;3.5,L11,"")</f>
        <v/>
      </c>
      <c r="O11" s="440" t="str">
        <f>IF(M11&gt;3.5,M11,"")</f>
        <v/>
      </c>
      <c r="Y11" s="442"/>
      <c r="Z11" s="67"/>
      <c r="AA11" s="73"/>
      <c r="AB11" s="133"/>
      <c r="AC11" s="48"/>
    </row>
    <row r="12" spans="2:29" x14ac:dyDescent="0.15">
      <c r="B12" s="132" t="s">
        <v>224</v>
      </c>
      <c r="C12" s="201" t="b">
        <v>1</v>
      </c>
      <c r="D12"/>
      <c r="E12" s="141" t="s">
        <v>61</v>
      </c>
      <c r="F12" s="196" t="s">
        <v>941</v>
      </c>
      <c r="G12" s="122"/>
      <c r="Y12" s="442"/>
      <c r="Z12" s="67"/>
      <c r="AA12" s="73"/>
      <c r="AB12" s="165"/>
      <c r="AC12" s="48"/>
    </row>
    <row r="13" spans="2:29" x14ac:dyDescent="0.15">
      <c r="B13" s="132" t="s">
        <v>225</v>
      </c>
      <c r="C13" s="201" t="b">
        <v>1</v>
      </c>
      <c r="D13"/>
      <c r="E13" s="137" t="s">
        <v>62</v>
      </c>
      <c r="F13" s="197" t="s">
        <v>942</v>
      </c>
      <c r="Y13" s="442"/>
      <c r="Z13" s="48"/>
      <c r="AA13" s="73"/>
      <c r="AB13" s="133"/>
      <c r="AC13" s="48"/>
    </row>
    <row r="14" spans="2:29" x14ac:dyDescent="0.15">
      <c r="B14" s="143" t="s">
        <v>226</v>
      </c>
      <c r="C14" s="202" t="b">
        <v>0</v>
      </c>
      <c r="D14"/>
      <c r="AB14" s="133"/>
      <c r="AC14" s="121"/>
    </row>
    <row r="15" spans="2:29" x14ac:dyDescent="0.15">
      <c r="D15"/>
      <c r="AB15" s="133"/>
      <c r="AC15" s="48"/>
    </row>
    <row r="16" spans="2:29" ht="15" x14ac:dyDescent="0.15">
      <c r="B16" s="803" t="s">
        <v>22</v>
      </c>
      <c r="C16" s="281" t="s">
        <v>23</v>
      </c>
      <c r="D16" s="282" t="s">
        <v>41</v>
      </c>
      <c r="E16" s="283" t="s">
        <v>24</v>
      </c>
      <c r="F16" s="283" t="s">
        <v>25</v>
      </c>
      <c r="G16" s="284" t="s">
        <v>26</v>
      </c>
      <c r="H16" s="285" t="s">
        <v>42</v>
      </c>
      <c r="I16" s="286" t="s">
        <v>27</v>
      </c>
      <c r="J16" s="7" t="s">
        <v>28</v>
      </c>
      <c r="K16" s="286" t="s">
        <v>29</v>
      </c>
      <c r="L16" s="7" t="s">
        <v>28</v>
      </c>
      <c r="M16" s="286" t="s">
        <v>29</v>
      </c>
      <c r="N16" s="7" t="s">
        <v>28</v>
      </c>
      <c r="O16" s="801" t="s">
        <v>30</v>
      </c>
      <c r="P16" s="287" t="s">
        <v>31</v>
      </c>
      <c r="Q16" s="288" t="s">
        <v>43</v>
      </c>
      <c r="R16" s="287" t="s">
        <v>32</v>
      </c>
      <c r="S16" s="288" t="s">
        <v>43</v>
      </c>
      <c r="T16" s="287" t="s">
        <v>32</v>
      </c>
      <c r="U16" s="288" t="s">
        <v>43</v>
      </c>
      <c r="V16" s="289" t="s">
        <v>44</v>
      </c>
      <c r="AB16" s="133"/>
      <c r="AC16" s="48"/>
    </row>
    <row r="17" spans="2:23" ht="15" x14ac:dyDescent="0.15">
      <c r="B17" s="804"/>
      <c r="C17" s="290" t="s">
        <v>0</v>
      </c>
      <c r="D17" s="291" t="s">
        <v>33</v>
      </c>
      <c r="E17" s="292" t="s">
        <v>34</v>
      </c>
      <c r="F17" s="292" t="s">
        <v>34</v>
      </c>
      <c r="G17" s="293" t="s">
        <v>17</v>
      </c>
      <c r="H17" s="290" t="s">
        <v>35</v>
      </c>
      <c r="I17" s="294" t="s">
        <v>45</v>
      </c>
      <c r="J17" s="293" t="s">
        <v>35</v>
      </c>
      <c r="K17" s="294" t="s">
        <v>46</v>
      </c>
      <c r="L17" s="293" t="s">
        <v>35</v>
      </c>
      <c r="M17" s="294" t="s">
        <v>47</v>
      </c>
      <c r="N17" s="293" t="s">
        <v>35</v>
      </c>
      <c r="O17" s="802"/>
      <c r="P17" s="295" t="s">
        <v>45</v>
      </c>
      <c r="Q17" s="296" t="s">
        <v>36</v>
      </c>
      <c r="R17" s="295" t="s">
        <v>46</v>
      </c>
      <c r="S17" s="296" t="s">
        <v>36</v>
      </c>
      <c r="T17" s="295" t="s">
        <v>47</v>
      </c>
      <c r="U17" s="296" t="s">
        <v>36</v>
      </c>
      <c r="V17" s="296" t="s">
        <v>35</v>
      </c>
    </row>
    <row r="18" spans="2:23" ht="15" x14ac:dyDescent="0.15">
      <c r="B18" s="90"/>
      <c r="C18" s="90"/>
      <c r="D18" s="91"/>
      <c r="E18" s="6"/>
      <c r="F18" s="6"/>
      <c r="G18" s="5"/>
      <c r="H18" s="90"/>
      <c r="I18" s="97"/>
      <c r="J18" s="5"/>
      <c r="K18" s="97"/>
      <c r="L18" s="5"/>
      <c r="M18" s="97"/>
      <c r="N18" s="5"/>
      <c r="O18" s="5"/>
      <c r="P18" s="219"/>
      <c r="Q18" s="220"/>
      <c r="R18" s="219"/>
      <c r="S18" s="220"/>
      <c r="T18" s="219"/>
      <c r="U18" s="220"/>
      <c r="V18" s="220"/>
    </row>
    <row r="19" spans="2:23" x14ac:dyDescent="0.15">
      <c r="B19" s="91" t="str">
        <f>'Tab1'!A128</f>
        <v>009_U</v>
      </c>
      <c r="C19" s="91" t="str">
        <f>IF('Tab1'!B128&lt;&gt;"",'Tab1'!B128,"")</f>
        <v>Agate</v>
      </c>
      <c r="D19" s="91">
        <f>'Tab1'!F128</f>
        <v>3.1939348991256282</v>
      </c>
      <c r="E19" s="91" t="e">
        <f>'Tab1'!#REF!</f>
        <v>#REF!</v>
      </c>
      <c r="F19" s="91">
        <f>IF('Tab1'!AH128&lt;0,"",'Tab1'!AH128)</f>
        <v>4.5889883910130562</v>
      </c>
      <c r="G19" s="6" t="e">
        <f>'Tab1'!#REF!</f>
        <v>#REF!</v>
      </c>
      <c r="H19" s="91" t="e">
        <f>IF('Tab1'!#REF! &lt; 0.0001,"b.d.",'Tab1'!#REF!)</f>
        <v>#REF!</v>
      </c>
      <c r="I19" s="91" t="e">
        <f>IF(AND(G6 &gt; 80, ISNUMBER(G6)),"",'Tab1'!#REF!)</f>
        <v>#REF!</v>
      </c>
      <c r="J19" s="91" t="e">
        <f>IF(H6="","",'Tab1'!#REF!)</f>
        <v>#REF!</v>
      </c>
      <c r="K19" s="91" t="e">
        <f>IF(I6="","",'Tab1'!#REF!)</f>
        <v>#REF!</v>
      </c>
      <c r="L19" s="91" t="str">
        <f>IF(J6="","",'Tab1'!#REF!)</f>
        <v/>
      </c>
      <c r="M19" s="91" t="str">
        <f>IF(K6="","",'Tab1'!Y128)</f>
        <v/>
      </c>
      <c r="N19" s="91" t="str">
        <f>IF(L6="","",'Tab1'!Z128)</f>
        <v/>
      </c>
      <c r="O19" s="91" t="str">
        <f>IF(J6="","",'Tab1'!#REF!)</f>
        <v/>
      </c>
      <c r="P19" s="91" t="e">
        <f>IF(H6="","",'Tab1'!#REF!)</f>
        <v>#REF!</v>
      </c>
      <c r="Q19" s="91" t="str">
        <f>IF(O6="","",'Tab1'!#REF!)</f>
        <v/>
      </c>
      <c r="R19" s="91" t="str">
        <f>IF(J6="","",IF(O6&lt;5,"",IF('Tab1'!#REF!&lt;0,"",'Tab1'!#REF!)))</f>
        <v/>
      </c>
      <c r="S19" s="91" t="str">
        <f>IF(Q6="","",'Tab1'!#REF!)</f>
        <v/>
      </c>
      <c r="T19" s="91" t="str">
        <f>IF(L6="","",IF('Tab1'!#REF!&lt;80,"",IF('Tab1'!#REF!&lt;0,"",'Tab1'!#REF!)))</f>
        <v/>
      </c>
      <c r="U19" s="91" t="str">
        <f>IF(S6="","",'Tab1'!#REF!)</f>
        <v/>
      </c>
      <c r="V19" s="6" t="str">
        <f>IF(S6="","",'Tab1'!#REF!)</f>
        <v/>
      </c>
    </row>
    <row r="20" spans="2:23" x14ac:dyDescent="0.15">
      <c r="B20" s="297" t="e">
        <f>'Tab1'!#REF!</f>
        <v>#REF!</v>
      </c>
      <c r="C20" s="91" t="e">
        <f>IF('Tab1'!#REF!&lt;&gt;"",'Tab1'!#REF!,"")</f>
        <v>#REF!</v>
      </c>
      <c r="D20" s="91" t="e">
        <f>'Tab1'!#REF!</f>
        <v>#REF!</v>
      </c>
      <c r="E20" s="91" t="e">
        <f>'Tab1'!#REF!</f>
        <v>#REF!</v>
      </c>
      <c r="F20" s="91" t="e">
        <f>'Tab1'!#REF!</f>
        <v>#REF!</v>
      </c>
      <c r="G20" s="6" t="e">
        <f>'Tab1'!#REF!</f>
        <v>#REF!</v>
      </c>
      <c r="H20" s="91" t="e">
        <f>IF('Tab1'!#REF! &lt; 0.0001,"b.d.",'Tab1'!#REF!)</f>
        <v>#REF!</v>
      </c>
      <c r="I20" s="91" t="e">
        <f>RoundMe('Tab1'!#REF!,4)</f>
        <v>#VALUE!</v>
      </c>
      <c r="J20" s="91" t="e">
        <f>'Tab1'!#REF!</f>
        <v>#REF!</v>
      </c>
      <c r="K20" s="91" t="e">
        <f>RoundMe('Tab1'!#REF!,4)</f>
        <v>#VALUE!</v>
      </c>
      <c r="L20" s="91" t="e">
        <f>'Tab1'!#REF!</f>
        <v>#REF!</v>
      </c>
      <c r="M20" s="91" t="e">
        <f>RoundMe('Tab1'!#REF!,4)</f>
        <v>#VALUE!</v>
      </c>
      <c r="N20" s="91" t="e">
        <f>'Tab1'!#REF!</f>
        <v>#REF!</v>
      </c>
      <c r="O20" s="91" t="e">
        <f>'Tab1'!#REF!</f>
        <v>#REF!</v>
      </c>
      <c r="P20" s="91" t="e">
        <f>IF(H7="","",'Tab1'!#REF!)</f>
        <v>#REF!</v>
      </c>
      <c r="Q20" s="91" t="e">
        <f>'Tab1'!#REF!</f>
        <v>#REF!</v>
      </c>
      <c r="R20" s="91" t="e">
        <f>'Tab1'!#REF!</f>
        <v>#REF!</v>
      </c>
      <c r="S20" s="91" t="e">
        <f>'Tab1'!#REF!</f>
        <v>#REF!</v>
      </c>
      <c r="T20" s="91" t="e">
        <f>'Tab1'!#REF!</f>
        <v>#REF!</v>
      </c>
      <c r="U20" s="91" t="e">
        <f>'Tab1'!#REF!</f>
        <v>#REF!</v>
      </c>
      <c r="V20" s="6" t="e">
        <f>'Tab1'!#REF!</f>
        <v>#REF!</v>
      </c>
    </row>
    <row r="21" spans="2:23" x14ac:dyDescent="0.15">
      <c r="B21" s="300"/>
      <c r="C21" s="300"/>
      <c r="D21" s="298" t="e">
        <f t="shared" ref="D21:I21" si="0">AVERAGE(D556:D580)</f>
        <v>#DIV/0!</v>
      </c>
      <c r="E21" s="91" t="e">
        <f t="shared" si="0"/>
        <v>#DIV/0!</v>
      </c>
      <c r="F21" s="91" t="e">
        <f t="shared" si="0"/>
        <v>#DIV/0!</v>
      </c>
      <c r="G21" s="6" t="e">
        <f t="shared" si="0"/>
        <v>#DIV/0!</v>
      </c>
      <c r="H21" s="91" t="str">
        <f>IFERROR(AVERAGE(H556:H580),"b.d.")</f>
        <v>b.d.</v>
      </c>
      <c r="I21" s="91" t="e">
        <f t="shared" si="0"/>
        <v>#DIV/0!</v>
      </c>
      <c r="J21" s="91" t="e">
        <f>STDEV(I556:I580)*100/I21*2</f>
        <v>#DIV/0!</v>
      </c>
      <c r="K21" s="298" t="e">
        <f>AVERAGE(K556:K580)</f>
        <v>#DIV/0!</v>
      </c>
      <c r="L21" s="298" t="e">
        <f>STDEV(K556:K580)*100/K21*2</f>
        <v>#DIV/0!</v>
      </c>
      <c r="M21" s="298" t="e">
        <f>AVERAGE(M556:M580)</f>
        <v>#DIV/0!</v>
      </c>
      <c r="N21" s="298" t="e">
        <f>STDEV(M556:M580)*100/M21*2</f>
        <v>#DIV/0!</v>
      </c>
      <c r="O21" s="91" t="e">
        <f>AVERAGE(O559:O583)</f>
        <v>#DIV/0!</v>
      </c>
      <c r="P21" s="91" t="e">
        <f>AVERAGE(P559:P583)</f>
        <v>#DIV/0!</v>
      </c>
      <c r="Q21" s="91" t="e">
        <f>STDEV(P559:P583)*2</f>
        <v>#DIV/0!</v>
      </c>
      <c r="R21" s="298" t="e">
        <f>AVERAGE(R559:R583)</f>
        <v>#DIV/0!</v>
      </c>
      <c r="S21" s="91" t="e">
        <f>STDEV(R559:R583)*2</f>
        <v>#DIV/0!</v>
      </c>
      <c r="T21" s="298" t="e">
        <f>AVERAGE(T559:T583)</f>
        <v>#DIV/0!</v>
      </c>
      <c r="U21" s="91" t="e">
        <f>STDEV(T559:T583)*2</f>
        <v>#DIV/0!</v>
      </c>
      <c r="V21" s="299" t="e">
        <f>AVERAGE(V559:V583)</f>
        <v>#DIV/0!</v>
      </c>
    </row>
    <row r="23" spans="2:23" ht="15" x14ac:dyDescent="0.15">
      <c r="B23" s="797" t="s">
        <v>22</v>
      </c>
      <c r="C23" s="90" t="s">
        <v>23</v>
      </c>
      <c r="D23" s="93" t="s">
        <v>41</v>
      </c>
      <c r="E23" s="6" t="s">
        <v>24</v>
      </c>
      <c r="F23" s="6" t="s">
        <v>25</v>
      </c>
      <c r="G23" s="94" t="s">
        <v>26</v>
      </c>
      <c r="H23" s="95" t="s">
        <v>367</v>
      </c>
      <c r="I23" s="5" t="s">
        <v>28</v>
      </c>
      <c r="J23" s="95" t="s">
        <v>368</v>
      </c>
      <c r="K23" s="5" t="s">
        <v>28</v>
      </c>
      <c r="L23" s="95" t="s">
        <v>369</v>
      </c>
      <c r="M23" s="5" t="s">
        <v>28</v>
      </c>
      <c r="N23" s="799" t="s">
        <v>370</v>
      </c>
      <c r="O23" s="55"/>
      <c r="P23" s="55"/>
      <c r="Q23" s="55"/>
      <c r="R23" s="55"/>
      <c r="S23" s="55"/>
      <c r="T23" s="55"/>
      <c r="U23" s="55"/>
      <c r="V23" s="55"/>
      <c r="W23" s="55"/>
    </row>
    <row r="24" spans="2:23" ht="15" x14ac:dyDescent="0.15">
      <c r="B24" s="798"/>
      <c r="C24" s="224" t="s">
        <v>0</v>
      </c>
      <c r="D24" s="225" t="s">
        <v>33</v>
      </c>
      <c r="E24" s="226" t="s">
        <v>34</v>
      </c>
      <c r="F24" s="226" t="s">
        <v>34</v>
      </c>
      <c r="G24" s="227" t="s">
        <v>17</v>
      </c>
      <c r="H24" s="228" t="s">
        <v>47</v>
      </c>
      <c r="I24" s="227" t="s">
        <v>35</v>
      </c>
      <c r="J24" s="228" t="s">
        <v>47</v>
      </c>
      <c r="K24" s="227" t="s">
        <v>35</v>
      </c>
      <c r="L24" s="228" t="s">
        <v>47</v>
      </c>
      <c r="M24" s="227" t="s">
        <v>35</v>
      </c>
      <c r="N24" s="800"/>
      <c r="O24" s="55"/>
      <c r="P24" s="55"/>
      <c r="Q24" s="55"/>
      <c r="R24" s="55"/>
      <c r="S24" s="55"/>
      <c r="T24" s="55"/>
      <c r="U24" s="55"/>
      <c r="V24" s="55"/>
      <c r="W24" s="55"/>
    </row>
    <row r="25" spans="2:23" ht="15" x14ac:dyDescent="0.15">
      <c r="B25" s="90"/>
      <c r="C25" s="90"/>
      <c r="D25" s="91"/>
      <c r="E25" s="6"/>
      <c r="F25" s="6"/>
      <c r="G25" s="5"/>
      <c r="H25" s="90"/>
      <c r="I25" s="97"/>
      <c r="J25" s="5"/>
      <c r="K25" s="97"/>
      <c r="N25" s="5"/>
      <c r="O25" s="55"/>
      <c r="P25" s="55"/>
      <c r="Q25" s="55"/>
      <c r="R25" s="55"/>
      <c r="S25" s="55"/>
      <c r="T25" s="55"/>
      <c r="U25" s="55"/>
      <c r="V25" s="55"/>
      <c r="W25" s="55"/>
    </row>
    <row r="26" spans="2:23" x14ac:dyDescent="0.15">
      <c r="B26" s="344" t="str">
        <f>'Tab1'!A128</f>
        <v>009_U</v>
      </c>
      <c r="C26" s="91" t="str">
        <f>IF('Tab1'!B128&lt;&gt;"",'Tab1'!B128,"")</f>
        <v>Agate</v>
      </c>
      <c r="D26" s="91">
        <f>'Tab1'!F128</f>
        <v>3.1939348991256282</v>
      </c>
      <c r="E26" s="91" t="e">
        <f>'Tab1'!#REF!</f>
        <v>#REF!</v>
      </c>
      <c r="F26" s="91">
        <f>IF('Tab1'!AH128&lt;0,"",'Tab1'!AH128)</f>
        <v>4.5889883910130562</v>
      </c>
      <c r="G26" s="6" t="e">
        <f>'Tab1'!#REF!</f>
        <v>#REF!</v>
      </c>
      <c r="H26" s="91" t="e">
        <f>1/'Tab1'!#REF!</f>
        <v>#REF!</v>
      </c>
      <c r="I26" s="91" t="e">
        <f>IF(G6="","",'Tab1'!#REF!)</f>
        <v>#REF!</v>
      </c>
      <c r="J26" s="91">
        <f>IF(H6="","",'Tab1'!Y128)</f>
        <v>4.0619380153838067</v>
      </c>
      <c r="K26" s="91">
        <f>IF(I6="","",'Tab1'!Z128)</f>
        <v>5.2646218434860587E-2</v>
      </c>
      <c r="L26" s="91" t="str">
        <f>IF(J6="","",'Tab1'!#REF!)</f>
        <v/>
      </c>
      <c r="M26" s="91" t="str">
        <f>IF(K6="","",'Tab1'!#REF!)</f>
        <v/>
      </c>
      <c r="N26" s="91" t="str">
        <f>IF(J6="","",'Tab1'!#REF!)</f>
        <v/>
      </c>
      <c r="O26" s="55"/>
      <c r="P26" s="55"/>
      <c r="Q26" s="55"/>
      <c r="R26" s="55"/>
      <c r="S26" s="55"/>
      <c r="T26" s="55"/>
      <c r="U26" s="55"/>
      <c r="V26" s="55"/>
      <c r="W26" s="55"/>
    </row>
    <row r="27" spans="2:23" x14ac:dyDescent="0.15">
      <c r="B27" s="297" t="e">
        <f>'Tab1'!#REF!</f>
        <v>#REF!</v>
      </c>
      <c r="C27" s="91" t="e">
        <f>IF('Tab1'!#REF!&lt;&gt;"",'Tab1'!#REF!,"")</f>
        <v>#REF!</v>
      </c>
      <c r="D27" s="91" t="e">
        <f>'Tab1'!#REF!</f>
        <v>#REF!</v>
      </c>
      <c r="E27" s="91" t="e">
        <f>'Tab1'!#REF!</f>
        <v>#REF!</v>
      </c>
      <c r="F27" s="91" t="e">
        <f>'Tab1'!#REF!</f>
        <v>#REF!</v>
      </c>
      <c r="G27" s="6" t="e">
        <f>'Tab1'!#REF!</f>
        <v>#REF!</v>
      </c>
      <c r="H27" s="91" t="e">
        <f>RoundMe(1/'Tab1'!#REF!,4)</f>
        <v>#VALUE!</v>
      </c>
      <c r="I27" s="91" t="e">
        <f>'Tab1'!#REF!</f>
        <v>#REF!</v>
      </c>
      <c r="J27" s="91" t="e">
        <f>RoundMe('Tab1'!#REF!,4)</f>
        <v>#VALUE!</v>
      </c>
      <c r="K27" s="91" t="e">
        <f>'Tab1'!#REF!</f>
        <v>#REF!</v>
      </c>
      <c r="L27" s="91" t="e">
        <f>RoundMe('Tab1'!#REF!,4)</f>
        <v>#VALUE!</v>
      </c>
      <c r="M27" s="91" t="e">
        <f>'Tab1'!#REF!</f>
        <v>#REF!</v>
      </c>
      <c r="N27" s="91" t="e">
        <f>'Tab1'!#REF!</f>
        <v>#REF!</v>
      </c>
      <c r="O27" s="55"/>
      <c r="P27" s="55"/>
      <c r="Q27" s="55"/>
      <c r="R27" s="55"/>
      <c r="S27" s="55"/>
      <c r="T27" s="55"/>
      <c r="U27" s="55"/>
      <c r="V27" s="55"/>
      <c r="W27" s="55"/>
    </row>
    <row r="28" spans="2:23" x14ac:dyDescent="0.15">
      <c r="B28" s="300"/>
      <c r="C28" s="91"/>
      <c r="D28" s="298" t="e">
        <f>AVERAGE(D556:D580)</f>
        <v>#DIV/0!</v>
      </c>
      <c r="E28" s="91" t="e">
        <f>AVERAGE(E556:E580)</f>
        <v>#DIV/0!</v>
      </c>
      <c r="F28" s="91" t="e">
        <f>AVERAGE(F556:F580)</f>
        <v>#DIV/0!</v>
      </c>
      <c r="G28" s="6" t="e">
        <f>AVERAGE(G556:G580)</f>
        <v>#DIV/0!</v>
      </c>
      <c r="H28" s="91" t="e">
        <f>AVERAGE(I556:I580)</f>
        <v>#DIV/0!</v>
      </c>
      <c r="I28" s="91" t="e">
        <f>STDEV(I556:I580)*100/I21*2</f>
        <v>#DIV/0!</v>
      </c>
      <c r="J28" s="298" t="e">
        <f>AVERAGE(M556:M580)</f>
        <v>#DIV/0!</v>
      </c>
      <c r="K28" s="298" t="e">
        <f>STDEV(M556:M580)*100/K21*2</f>
        <v>#DIV/0!</v>
      </c>
      <c r="L28" s="298" t="e">
        <f>AVERAGE(O557:O581)</f>
        <v>#DIV/0!</v>
      </c>
      <c r="M28" s="298" t="e">
        <f>STDEV(O557:O581)*100/M21*2</f>
        <v>#DIV/0!</v>
      </c>
      <c r="N28" s="91" t="e">
        <f>AVERAGE(O565:O589)</f>
        <v>#DIV/0!</v>
      </c>
      <c r="O28" s="55"/>
      <c r="P28" s="55"/>
      <c r="Q28" s="55"/>
      <c r="R28" s="55"/>
      <c r="S28" s="55"/>
      <c r="T28" s="55"/>
      <c r="U28" s="55"/>
      <c r="V28" s="55"/>
      <c r="W28" s="55"/>
    </row>
    <row r="29" spans="2:23" x14ac:dyDescent="0.15">
      <c r="M29" s="55"/>
      <c r="N29" s="55"/>
      <c r="O29" s="55"/>
      <c r="P29" s="55"/>
      <c r="Q29" s="55"/>
      <c r="R29" s="55"/>
      <c r="S29" s="55"/>
      <c r="T29" s="55"/>
      <c r="U29" s="55"/>
      <c r="V29" s="55"/>
      <c r="W29" s="55"/>
    </row>
    <row r="30" spans="2:23" ht="15" x14ac:dyDescent="0.15">
      <c r="B30" s="797" t="s">
        <v>22</v>
      </c>
      <c r="C30" s="90" t="s">
        <v>23</v>
      </c>
      <c r="D30" s="93" t="s">
        <v>41</v>
      </c>
      <c r="E30" s="6" t="s">
        <v>24</v>
      </c>
      <c r="F30" s="6" t="s">
        <v>25</v>
      </c>
      <c r="G30" s="94" t="s">
        <v>26</v>
      </c>
      <c r="H30" s="95" t="s">
        <v>367</v>
      </c>
      <c r="I30" s="5" t="s">
        <v>28</v>
      </c>
      <c r="J30" s="95" t="s">
        <v>368</v>
      </c>
      <c r="K30" s="5" t="s">
        <v>28</v>
      </c>
      <c r="L30" s="799" t="s">
        <v>370</v>
      </c>
      <c r="M30" s="55"/>
      <c r="N30" s="55"/>
      <c r="O30" s="55"/>
      <c r="P30" s="55"/>
      <c r="Q30" s="55"/>
      <c r="R30" s="55"/>
      <c r="S30" s="55"/>
      <c r="T30" s="55"/>
      <c r="U30" s="55"/>
      <c r="V30" s="55"/>
      <c r="W30" s="55"/>
    </row>
    <row r="31" spans="2:23" ht="15" x14ac:dyDescent="0.15">
      <c r="B31" s="798"/>
      <c r="C31" s="224" t="s">
        <v>0</v>
      </c>
      <c r="D31" s="225" t="s">
        <v>33</v>
      </c>
      <c r="E31" s="226" t="s">
        <v>34</v>
      </c>
      <c r="F31" s="226" t="s">
        <v>34</v>
      </c>
      <c r="G31" s="227" t="s">
        <v>17</v>
      </c>
      <c r="H31" s="228" t="s">
        <v>47</v>
      </c>
      <c r="I31" s="227" t="s">
        <v>35</v>
      </c>
      <c r="J31" s="228" t="s">
        <v>47</v>
      </c>
      <c r="K31" s="227" t="s">
        <v>35</v>
      </c>
      <c r="L31" s="800"/>
      <c r="M31" s="55"/>
      <c r="N31" s="55"/>
      <c r="O31" s="55"/>
      <c r="P31" s="55"/>
      <c r="Q31" s="55"/>
      <c r="R31" s="55"/>
      <c r="S31" s="55"/>
      <c r="T31" s="55"/>
      <c r="U31" s="55"/>
      <c r="V31" s="55"/>
      <c r="W31" s="55"/>
    </row>
    <row r="32" spans="2:23" ht="15" x14ac:dyDescent="0.15">
      <c r="B32" s="90"/>
      <c r="C32" s="90"/>
      <c r="D32" s="91"/>
      <c r="E32" s="6"/>
      <c r="F32" s="6"/>
      <c r="G32" s="5"/>
      <c r="H32" s="90"/>
      <c r="I32" s="97"/>
      <c r="J32" s="5"/>
      <c r="K32" s="97"/>
      <c r="L32" s="5"/>
      <c r="M32" s="7"/>
      <c r="N32" s="55"/>
      <c r="O32" s="55"/>
      <c r="P32" s="55"/>
      <c r="Q32" s="55"/>
      <c r="R32" s="55"/>
      <c r="S32" s="55"/>
      <c r="T32" s="55"/>
      <c r="U32" s="55"/>
      <c r="V32" s="55"/>
      <c r="W32" s="55"/>
    </row>
    <row r="33" spans="2:23" x14ac:dyDescent="0.15">
      <c r="B33" s="344" t="str">
        <f>'Tab1'!A128</f>
        <v>009_U</v>
      </c>
      <c r="C33" s="91" t="str">
        <f>IF('Tab1'!B128&lt;&gt;"",'Tab1'!B128,"")</f>
        <v>Agate</v>
      </c>
      <c r="D33" s="91">
        <f>'Tab1'!F128</f>
        <v>3.1939348991256282</v>
      </c>
      <c r="E33" s="91" t="e">
        <f>'Tab1'!#REF!</f>
        <v>#REF!</v>
      </c>
      <c r="F33" s="91">
        <f>IF('Tab1'!AH128&lt;0,"",'Tab1'!AH128)</f>
        <v>4.5889883910130562</v>
      </c>
      <c r="G33" s="6" t="e">
        <f>'Tab1'!#REF!</f>
        <v>#REF!</v>
      </c>
      <c r="H33" s="91" t="e">
        <f>1/'Tab1'!#REF!</f>
        <v>#REF!</v>
      </c>
      <c r="I33" s="91" t="e">
        <f>IF(G6="","",'Tab1'!#REF!)</f>
        <v>#REF!</v>
      </c>
      <c r="J33" s="91">
        <f>IF(H6="","",'Tab1'!Y128)</f>
        <v>4.0619380153838067</v>
      </c>
      <c r="K33" s="91">
        <f>IF(I6="","",'Tab1'!Z128)</f>
        <v>5.2646218434860587E-2</v>
      </c>
      <c r="L33" s="91" t="str">
        <f>IF(J6="","",'Tab1'!#REF!)</f>
        <v/>
      </c>
      <c r="M33" s="55"/>
      <c r="N33" s="55"/>
      <c r="O33" s="55"/>
      <c r="P33" s="7"/>
      <c r="Q33" s="7"/>
      <c r="R33" s="7"/>
      <c r="S33" s="7"/>
      <c r="T33" s="7"/>
      <c r="U33" s="7"/>
      <c r="V33" s="7"/>
      <c r="W33" s="55"/>
    </row>
    <row r="34" spans="2:23" x14ac:dyDescent="0.15">
      <c r="B34" s="297" t="e">
        <f>'Tab1'!#REF!</f>
        <v>#REF!</v>
      </c>
      <c r="C34" s="91" t="e">
        <f>IF('Tab1'!#REF!&lt;&gt;"",'Tab1'!#REF!,"")</f>
        <v>#REF!</v>
      </c>
      <c r="D34" s="91" t="e">
        <f>'Tab1'!#REF!</f>
        <v>#REF!</v>
      </c>
      <c r="E34" s="91" t="e">
        <f>'Tab1'!#REF!</f>
        <v>#REF!</v>
      </c>
      <c r="F34" s="91" t="e">
        <f>'Tab1'!#REF!</f>
        <v>#REF!</v>
      </c>
      <c r="G34" s="6" t="e">
        <f>'Tab1'!#REF!</f>
        <v>#REF!</v>
      </c>
      <c r="H34" s="91" t="e">
        <f>RoundMe(1/'Tab1'!#REF!,4)</f>
        <v>#VALUE!</v>
      </c>
      <c r="I34" s="91" t="e">
        <f>'Tab1'!#REF!</f>
        <v>#REF!</v>
      </c>
      <c r="J34" s="91" t="e">
        <f>RoundMe('Tab1'!#REF!,4)</f>
        <v>#VALUE!</v>
      </c>
      <c r="K34" s="91" t="e">
        <f>'Tab1'!#REF!</f>
        <v>#REF!</v>
      </c>
      <c r="L34" s="91" t="e">
        <f>'Tab1'!#REF!</f>
        <v>#REF!</v>
      </c>
      <c r="M34" s="55"/>
      <c r="N34" s="55"/>
      <c r="O34" s="55"/>
      <c r="P34" s="55"/>
      <c r="Q34" s="55"/>
      <c r="R34" s="55"/>
      <c r="S34" s="55"/>
      <c r="T34" s="55"/>
      <c r="U34" s="55"/>
      <c r="V34" s="55"/>
      <c r="W34" s="55"/>
    </row>
    <row r="35" spans="2:23" x14ac:dyDescent="0.15">
      <c r="B35" s="300"/>
      <c r="C35" s="91"/>
      <c r="D35" s="298" t="e">
        <f>AVERAGE(D556:D580)</f>
        <v>#DIV/0!</v>
      </c>
      <c r="E35" s="91" t="e">
        <f>AVERAGE(E556:E580)</f>
        <v>#DIV/0!</v>
      </c>
      <c r="F35" s="91" t="e">
        <f>AVERAGE(F556:F580)</f>
        <v>#DIV/0!</v>
      </c>
      <c r="G35" s="6" t="e">
        <f>AVERAGE(G556:G580)</f>
        <v>#DIV/0!</v>
      </c>
      <c r="H35" s="91" t="e">
        <f>AVERAGE(I556:I580)</f>
        <v>#DIV/0!</v>
      </c>
      <c r="I35" s="91" t="e">
        <f>STDEV(I556:I580)*100/I21*2</f>
        <v>#DIV/0!</v>
      </c>
      <c r="J35" s="298" t="e">
        <f>AVERAGE(M556:M580)</f>
        <v>#DIV/0!</v>
      </c>
      <c r="K35" s="298" t="e">
        <f>STDEV(M556:M580)*100/K21*2</f>
        <v>#DIV/0!</v>
      </c>
      <c r="L35" s="91" t="e">
        <f>AVERAGE(O565:O589)</f>
        <v>#DIV/0!</v>
      </c>
      <c r="M35" s="55"/>
      <c r="N35" s="55"/>
      <c r="O35" s="55"/>
      <c r="P35" s="55"/>
      <c r="Q35" s="55"/>
      <c r="R35" s="55"/>
      <c r="S35" s="55"/>
      <c r="T35" s="55"/>
      <c r="U35" s="55"/>
      <c r="V35" s="55"/>
      <c r="W35" s="55"/>
    </row>
    <row r="36" spans="2:23" x14ac:dyDescent="0.15">
      <c r="E36" s="138"/>
      <c r="M36" s="55"/>
      <c r="N36" s="55"/>
      <c r="O36" s="55"/>
      <c r="P36" s="55"/>
      <c r="Q36" s="55"/>
      <c r="R36" s="55"/>
      <c r="S36" s="55"/>
      <c r="T36" s="55"/>
      <c r="U36" s="55"/>
      <c r="V36" s="55"/>
      <c r="W36" s="55"/>
    </row>
    <row r="37" spans="2:23" x14ac:dyDescent="0.15">
      <c r="B37" s="144" t="s">
        <v>63</v>
      </c>
      <c r="C37" s="145"/>
      <c r="D37" s="145"/>
      <c r="F37" s="145"/>
      <c r="G37" s="145"/>
      <c r="H37" s="145"/>
      <c r="I37" s="145"/>
      <c r="J37" s="145"/>
      <c r="K37" s="145"/>
      <c r="L37" s="142"/>
      <c r="M37" s="122"/>
      <c r="N37" s="127"/>
      <c r="O37" s="375" t="s">
        <v>405</v>
      </c>
      <c r="P37" s="148"/>
      <c r="Q37" s="148"/>
      <c r="R37" s="148"/>
      <c r="S37" s="148"/>
      <c r="T37" s="149"/>
    </row>
    <row r="38" spans="2:23" x14ac:dyDescent="0.15">
      <c r="B38" s="146" t="s">
        <v>49</v>
      </c>
      <c r="C38" s="147" t="s">
        <v>64</v>
      </c>
      <c r="D38" s="373" t="s">
        <v>65</v>
      </c>
      <c r="E38" s="372" t="s">
        <v>321</v>
      </c>
      <c r="F38" s="373" t="s">
        <v>66</v>
      </c>
      <c r="G38" s="373" t="s">
        <v>67</v>
      </c>
      <c r="H38" s="373" t="s">
        <v>68</v>
      </c>
      <c r="I38" s="373" t="s">
        <v>5</v>
      </c>
      <c r="J38" s="373" t="s">
        <v>69</v>
      </c>
      <c r="K38" s="373" t="s">
        <v>70</v>
      </c>
      <c r="L38" s="371" t="s">
        <v>71</v>
      </c>
      <c r="M38" s="373" t="s">
        <v>72</v>
      </c>
      <c r="N38" s="193" t="s">
        <v>73</v>
      </c>
      <c r="O38" s="371" t="s">
        <v>65</v>
      </c>
      <c r="P38" s="372" t="s">
        <v>3</v>
      </c>
      <c r="Q38" s="372" t="s">
        <v>321</v>
      </c>
      <c r="R38" s="372" t="s">
        <v>3</v>
      </c>
      <c r="S38" s="373" t="s">
        <v>66</v>
      </c>
      <c r="T38" s="374" t="s">
        <v>3</v>
      </c>
    </row>
    <row r="39" spans="2:23" x14ac:dyDescent="0.15">
      <c r="B39" s="132" t="s">
        <v>349</v>
      </c>
      <c r="C39" t="s">
        <v>352</v>
      </c>
      <c r="D39" t="s">
        <v>9</v>
      </c>
      <c r="E39" t="s">
        <v>9</v>
      </c>
      <c r="F39" t="s">
        <v>9</v>
      </c>
      <c r="G39" t="s">
        <v>9</v>
      </c>
      <c r="H39" t="s">
        <v>350</v>
      </c>
      <c r="I39" t="s">
        <v>9</v>
      </c>
      <c r="J39" t="s">
        <v>9</v>
      </c>
      <c r="K39" s="217" t="s">
        <v>9</v>
      </c>
      <c r="L39" s="216" t="s">
        <v>351</v>
      </c>
      <c r="M39" s="217" t="s">
        <v>77</v>
      </c>
      <c r="N39" s="218" t="s">
        <v>77</v>
      </c>
      <c r="O39" s="121"/>
      <c r="P39" s="121"/>
      <c r="Q39" s="121"/>
      <c r="R39" s="121"/>
      <c r="S39" s="121"/>
      <c r="T39" s="149"/>
    </row>
    <row r="40" spans="2:23" ht="12.75" customHeight="1" x14ac:dyDescent="0.15">
      <c r="B40" s="150" t="s">
        <v>74</v>
      </c>
      <c r="C40" s="151" t="s">
        <v>75</v>
      </c>
      <c r="D40" s="152" t="s">
        <v>9</v>
      </c>
      <c r="F40" s="152" t="s">
        <v>9</v>
      </c>
      <c r="G40" s="152" t="s">
        <v>9</v>
      </c>
      <c r="H40" s="152" t="s">
        <v>76</v>
      </c>
      <c r="J40" s="135" t="s">
        <v>9</v>
      </c>
      <c r="K40" s="135" t="s">
        <v>9</v>
      </c>
      <c r="L40" s="216" t="s">
        <v>197</v>
      </c>
      <c r="M40" s="217" t="s">
        <v>194</v>
      </c>
      <c r="N40" s="218" t="s">
        <v>77</v>
      </c>
      <c r="O40" s="121"/>
      <c r="P40" s="121"/>
      <c r="Q40" s="121"/>
      <c r="R40" s="121"/>
      <c r="S40" s="121"/>
      <c r="T40" s="136"/>
    </row>
    <row r="41" spans="2:23" ht="12.75" customHeight="1" x14ac:dyDescent="0.15">
      <c r="B41" s="132" t="s">
        <v>371</v>
      </c>
      <c r="D41" s="121" t="s">
        <v>9</v>
      </c>
      <c r="E41" t="s">
        <v>9</v>
      </c>
      <c r="F41" t="s">
        <v>9</v>
      </c>
      <c r="G41" t="s">
        <v>9</v>
      </c>
      <c r="H41" t="s">
        <v>320</v>
      </c>
      <c r="I41" t="s">
        <v>9</v>
      </c>
      <c r="J41" t="s">
        <v>9</v>
      </c>
      <c r="K41" t="s">
        <v>9</v>
      </c>
      <c r="L41" s="216" t="s">
        <v>372</v>
      </c>
      <c r="M41" s="217" t="s">
        <v>77</v>
      </c>
      <c r="N41" s="218" t="s">
        <v>77</v>
      </c>
      <c r="O41" s="121"/>
      <c r="P41" s="121"/>
      <c r="Q41" s="121"/>
      <c r="R41" s="121"/>
      <c r="S41" s="121"/>
      <c r="T41" s="136"/>
    </row>
    <row r="42" spans="2:23" ht="12.75" customHeight="1" x14ac:dyDescent="0.15">
      <c r="B42" s="150" t="s">
        <v>78</v>
      </c>
      <c r="C42" s="151" t="s">
        <v>79</v>
      </c>
      <c r="D42" s="152" t="s">
        <v>9</v>
      </c>
      <c r="F42" s="152" t="s">
        <v>9</v>
      </c>
      <c r="G42" s="152" t="s">
        <v>9</v>
      </c>
      <c r="H42" s="152" t="s">
        <v>9</v>
      </c>
      <c r="I42" t="s">
        <v>9</v>
      </c>
      <c r="J42" s="135" t="s">
        <v>9</v>
      </c>
      <c r="K42" s="135" t="s">
        <v>9</v>
      </c>
      <c r="L42" s="216" t="s">
        <v>77</v>
      </c>
      <c r="M42" s="217" t="s">
        <v>77</v>
      </c>
      <c r="N42" s="218" t="s">
        <v>77</v>
      </c>
      <c r="O42" s="121"/>
      <c r="P42" s="121"/>
      <c r="Q42" s="121"/>
      <c r="R42" s="121"/>
      <c r="S42" s="121"/>
      <c r="T42" s="136"/>
    </row>
    <row r="43" spans="2:23" ht="12.75" customHeight="1" x14ac:dyDescent="0.15">
      <c r="B43" s="128" t="s">
        <v>80</v>
      </c>
      <c r="D43" s="121" t="s">
        <v>81</v>
      </c>
      <c r="F43">
        <v>0.12790000000000001</v>
      </c>
      <c r="G43" t="s">
        <v>82</v>
      </c>
      <c r="H43" t="s">
        <v>83</v>
      </c>
      <c r="I43" t="s">
        <v>9</v>
      </c>
      <c r="J43" t="s">
        <v>84</v>
      </c>
      <c r="K43" t="s">
        <v>85</v>
      </c>
      <c r="L43" s="216" t="s">
        <v>77</v>
      </c>
      <c r="M43" s="217" t="s">
        <v>77</v>
      </c>
      <c r="N43" s="218" t="s">
        <v>77</v>
      </c>
      <c r="O43" s="121"/>
      <c r="P43" s="121"/>
      <c r="Q43" s="121"/>
      <c r="R43" s="121"/>
      <c r="S43" s="121"/>
      <c r="T43" s="136"/>
    </row>
    <row r="44" spans="2:23" ht="12.75" customHeight="1" x14ac:dyDescent="0.15">
      <c r="B44" s="132" t="s">
        <v>373</v>
      </c>
      <c r="C44" t="s">
        <v>374</v>
      </c>
      <c r="D44" s="121" t="s">
        <v>9</v>
      </c>
      <c r="E44" t="s">
        <v>9</v>
      </c>
      <c r="F44" t="s">
        <v>9</v>
      </c>
      <c r="G44" t="s">
        <v>9</v>
      </c>
      <c r="H44" t="s">
        <v>9</v>
      </c>
      <c r="I44" t="s">
        <v>9</v>
      </c>
      <c r="J44" t="s">
        <v>9</v>
      </c>
      <c r="K44" t="s">
        <v>9</v>
      </c>
      <c r="L44" s="216" t="s">
        <v>77</v>
      </c>
      <c r="M44" s="217" t="s">
        <v>77</v>
      </c>
      <c r="N44" s="218" t="s">
        <v>77</v>
      </c>
      <c r="O44" s="121"/>
      <c r="P44" s="121"/>
      <c r="Q44" s="121"/>
      <c r="R44" s="121"/>
      <c r="S44" s="121"/>
      <c r="T44" s="136"/>
    </row>
    <row r="45" spans="2:23" ht="12.75" customHeight="1" x14ac:dyDescent="0.15">
      <c r="B45" s="150" t="s">
        <v>86</v>
      </c>
      <c r="C45" s="151" t="s">
        <v>87</v>
      </c>
      <c r="D45" s="152" t="s">
        <v>9</v>
      </c>
      <c r="F45" s="152" t="s">
        <v>9</v>
      </c>
      <c r="G45" s="152" t="s">
        <v>9</v>
      </c>
      <c r="H45" s="152" t="s">
        <v>88</v>
      </c>
      <c r="I45" t="s">
        <v>9</v>
      </c>
      <c r="J45" s="135" t="s">
        <v>9</v>
      </c>
      <c r="K45" s="135" t="s">
        <v>9</v>
      </c>
      <c r="L45" s="216" t="s">
        <v>77</v>
      </c>
      <c r="M45" s="217" t="s">
        <v>77</v>
      </c>
      <c r="N45" s="218" t="s">
        <v>77</v>
      </c>
      <c r="T45" s="134"/>
    </row>
    <row r="46" spans="2:23" ht="12.75" customHeight="1" x14ac:dyDescent="0.15">
      <c r="B46" s="150" t="s">
        <v>89</v>
      </c>
      <c r="C46" s="151" t="s">
        <v>200</v>
      </c>
      <c r="D46" s="152" t="s">
        <v>9</v>
      </c>
      <c r="E46" t="s">
        <v>9</v>
      </c>
      <c r="F46" s="152" t="s">
        <v>9</v>
      </c>
      <c r="G46" s="152" t="s">
        <v>9</v>
      </c>
      <c r="H46" s="152" t="s">
        <v>404</v>
      </c>
      <c r="I46" t="s">
        <v>9</v>
      </c>
      <c r="J46" s="135" t="s">
        <v>9</v>
      </c>
      <c r="K46" s="135" t="s">
        <v>9</v>
      </c>
      <c r="L46" s="216" t="s">
        <v>195</v>
      </c>
      <c r="M46" s="217" t="s">
        <v>77</v>
      </c>
      <c r="N46" s="218" t="s">
        <v>77</v>
      </c>
      <c r="O46" s="121" t="s">
        <v>407</v>
      </c>
      <c r="P46" s="121" t="s">
        <v>410</v>
      </c>
      <c r="Q46" s="121" t="s">
        <v>411</v>
      </c>
      <c r="R46" s="121" t="s">
        <v>312</v>
      </c>
      <c r="S46" s="121" t="s">
        <v>408</v>
      </c>
      <c r="T46" s="136" t="s">
        <v>409</v>
      </c>
    </row>
    <row r="47" spans="2:23" ht="12.75" customHeight="1" x14ac:dyDescent="0.15">
      <c r="B47" s="132" t="s">
        <v>336</v>
      </c>
      <c r="C47" t="s">
        <v>345</v>
      </c>
      <c r="D47" s="121" t="s">
        <v>9</v>
      </c>
      <c r="E47" t="s">
        <v>9</v>
      </c>
      <c r="F47" t="s">
        <v>9</v>
      </c>
      <c r="G47" t="s">
        <v>9</v>
      </c>
      <c r="H47" t="s">
        <v>337</v>
      </c>
      <c r="I47" t="s">
        <v>9</v>
      </c>
      <c r="J47" t="s">
        <v>9</v>
      </c>
      <c r="K47" t="s">
        <v>9</v>
      </c>
      <c r="L47" s="216" t="s">
        <v>77</v>
      </c>
      <c r="M47" s="217" t="s">
        <v>77</v>
      </c>
      <c r="N47" s="218" t="s">
        <v>77</v>
      </c>
      <c r="O47" s="376"/>
      <c r="P47" s="121"/>
      <c r="Q47" s="121"/>
      <c r="R47" s="121"/>
      <c r="S47" s="121"/>
      <c r="T47" s="136"/>
    </row>
    <row r="48" spans="2:23" ht="12.75" customHeight="1" x14ac:dyDescent="0.15">
      <c r="B48" s="132" t="s">
        <v>353</v>
      </c>
      <c r="C48" t="s">
        <v>355</v>
      </c>
      <c r="D48" t="s">
        <v>9</v>
      </c>
      <c r="E48" t="s">
        <v>9</v>
      </c>
      <c r="F48" t="s">
        <v>9</v>
      </c>
      <c r="G48" t="s">
        <v>354</v>
      </c>
      <c r="H48" t="s">
        <v>9</v>
      </c>
      <c r="I48" t="s">
        <v>9</v>
      </c>
      <c r="J48" t="s">
        <v>9</v>
      </c>
      <c r="K48" s="217" t="s">
        <v>9</v>
      </c>
      <c r="L48" s="216" t="s">
        <v>356</v>
      </c>
      <c r="M48" s="217" t="s">
        <v>357</v>
      </c>
      <c r="N48" s="218" t="s">
        <v>358</v>
      </c>
      <c r="O48" s="376"/>
      <c r="P48" s="121"/>
      <c r="Q48" s="121"/>
      <c r="R48" s="121"/>
      <c r="S48" s="121"/>
      <c r="T48" s="136"/>
    </row>
    <row r="49" spans="2:20" ht="12.75" customHeight="1" x14ac:dyDescent="0.15">
      <c r="B49" s="132" t="s">
        <v>334</v>
      </c>
      <c r="C49" t="s">
        <v>346</v>
      </c>
      <c r="D49" s="121" t="s">
        <v>9</v>
      </c>
      <c r="E49" t="s">
        <v>9</v>
      </c>
      <c r="F49" t="s">
        <v>9</v>
      </c>
      <c r="G49" t="s">
        <v>9</v>
      </c>
      <c r="H49" t="s">
        <v>335</v>
      </c>
      <c r="I49" t="s">
        <v>9</v>
      </c>
      <c r="J49" t="s">
        <v>9</v>
      </c>
      <c r="K49" t="s">
        <v>9</v>
      </c>
      <c r="L49" s="216" t="s">
        <v>77</v>
      </c>
      <c r="M49" s="217" t="s">
        <v>77</v>
      </c>
      <c r="N49" s="218" t="s">
        <v>77</v>
      </c>
      <c r="O49" s="376"/>
      <c r="P49" s="121"/>
      <c r="Q49" s="121"/>
      <c r="R49" s="121"/>
      <c r="S49" s="121"/>
      <c r="T49" s="136"/>
    </row>
    <row r="50" spans="2:20" ht="12.75" customHeight="1" x14ac:dyDescent="0.15">
      <c r="B50" s="150" t="s">
        <v>90</v>
      </c>
      <c r="C50" s="151" t="s">
        <v>188</v>
      </c>
      <c r="D50" s="152" t="s">
        <v>9</v>
      </c>
      <c r="F50" s="152" t="s">
        <v>9</v>
      </c>
      <c r="G50" s="152" t="s">
        <v>193</v>
      </c>
      <c r="H50" s="152" t="s">
        <v>193</v>
      </c>
      <c r="I50" t="s">
        <v>9</v>
      </c>
      <c r="J50" s="135" t="s">
        <v>9</v>
      </c>
      <c r="K50" s="135" t="s">
        <v>9</v>
      </c>
      <c r="L50" s="216" t="s">
        <v>77</v>
      </c>
      <c r="M50" s="217" t="s">
        <v>77</v>
      </c>
      <c r="N50" s="218" t="s">
        <v>77</v>
      </c>
      <c r="O50" s="121"/>
      <c r="P50" s="121"/>
      <c r="Q50" s="121"/>
      <c r="R50" s="121"/>
      <c r="S50" s="121"/>
      <c r="T50" s="136"/>
    </row>
    <row r="51" spans="2:20" ht="12.75" customHeight="1" x14ac:dyDescent="0.15">
      <c r="B51" s="150" t="s">
        <v>91</v>
      </c>
      <c r="C51" s="311" t="s">
        <v>192</v>
      </c>
      <c r="D51" s="152" t="s">
        <v>377</v>
      </c>
      <c r="E51" t="s">
        <v>378</v>
      </c>
      <c r="F51" s="152" t="s">
        <v>9</v>
      </c>
      <c r="G51" s="152" t="s">
        <v>191</v>
      </c>
      <c r="H51" s="152" t="s">
        <v>9</v>
      </c>
      <c r="I51" t="s">
        <v>206</v>
      </c>
      <c r="J51" s="135" t="s">
        <v>207</v>
      </c>
      <c r="K51" s="135" t="s">
        <v>208</v>
      </c>
      <c r="L51" s="216" t="s">
        <v>92</v>
      </c>
      <c r="M51" s="217" t="s">
        <v>190</v>
      </c>
      <c r="N51" s="218" t="s">
        <v>211</v>
      </c>
      <c r="O51" s="121"/>
      <c r="P51" s="121"/>
      <c r="Q51" s="121"/>
      <c r="R51" s="121"/>
      <c r="S51" s="121"/>
      <c r="T51" s="136"/>
    </row>
    <row r="52" spans="2:20" ht="12.75" customHeight="1" x14ac:dyDescent="0.15">
      <c r="B52" s="150" t="s">
        <v>93</v>
      </c>
      <c r="C52" s="151" t="s">
        <v>311</v>
      </c>
      <c r="D52" s="152" t="s">
        <v>94</v>
      </c>
      <c r="E52" t="s">
        <v>376</v>
      </c>
      <c r="F52" s="152" t="s">
        <v>313</v>
      </c>
      <c r="G52" s="152" t="s">
        <v>95</v>
      </c>
      <c r="H52" s="152" t="s">
        <v>96</v>
      </c>
      <c r="I52" t="s">
        <v>189</v>
      </c>
      <c r="J52" s="135" t="s">
        <v>204</v>
      </c>
      <c r="K52" s="135" t="s">
        <v>205</v>
      </c>
      <c r="L52" s="216" t="s">
        <v>310</v>
      </c>
      <c r="M52" s="217" t="s">
        <v>77</v>
      </c>
      <c r="N52" s="218" t="s">
        <v>211</v>
      </c>
      <c r="O52" s="121"/>
      <c r="P52" s="121"/>
      <c r="Q52" s="121"/>
      <c r="R52" s="121"/>
      <c r="S52" s="121"/>
      <c r="T52" s="136"/>
    </row>
    <row r="53" spans="2:20" ht="12.75" customHeight="1" x14ac:dyDescent="0.15">
      <c r="B53" s="150" t="s">
        <v>97</v>
      </c>
      <c r="C53" s="151" t="s">
        <v>379</v>
      </c>
      <c r="D53" s="152" t="s">
        <v>98</v>
      </c>
      <c r="E53" t="s">
        <v>322</v>
      </c>
      <c r="F53" s="152" t="s">
        <v>99</v>
      </c>
      <c r="G53" s="152" t="s">
        <v>100</v>
      </c>
      <c r="H53" s="152" t="s">
        <v>101</v>
      </c>
      <c r="I53" t="s">
        <v>203</v>
      </c>
      <c r="J53" s="135" t="s">
        <v>201</v>
      </c>
      <c r="K53" s="135" t="s">
        <v>202</v>
      </c>
      <c r="L53" s="216" t="s">
        <v>210</v>
      </c>
      <c r="M53" s="217" t="s">
        <v>77</v>
      </c>
      <c r="N53" s="218" t="s">
        <v>211</v>
      </c>
      <c r="O53" s="121"/>
      <c r="P53" s="121"/>
      <c r="Q53" s="121"/>
      <c r="R53" s="121"/>
      <c r="S53" s="121"/>
      <c r="T53" s="136"/>
    </row>
    <row r="54" spans="2:20" ht="12.75" customHeight="1" x14ac:dyDescent="0.15">
      <c r="B54" s="132" t="s">
        <v>359</v>
      </c>
      <c r="D54" s="121" t="s">
        <v>360</v>
      </c>
      <c r="E54" t="s">
        <v>9</v>
      </c>
      <c r="F54" t="s">
        <v>361</v>
      </c>
      <c r="G54" t="s">
        <v>362</v>
      </c>
      <c r="H54" t="s">
        <v>363</v>
      </c>
      <c r="I54" t="s">
        <v>364</v>
      </c>
      <c r="J54" t="s">
        <v>365</v>
      </c>
      <c r="K54" t="s">
        <v>366</v>
      </c>
      <c r="L54" s="216" t="s">
        <v>77</v>
      </c>
      <c r="M54" s="217" t="s">
        <v>77</v>
      </c>
      <c r="N54" s="218" t="s">
        <v>77</v>
      </c>
      <c r="O54" s="121"/>
      <c r="P54" s="121"/>
      <c r="Q54" s="121"/>
      <c r="R54" s="121"/>
      <c r="S54" s="121"/>
      <c r="T54" s="136"/>
    </row>
    <row r="55" spans="2:20" ht="12.75" customHeight="1" x14ac:dyDescent="0.15">
      <c r="B55" s="132" t="s">
        <v>380</v>
      </c>
      <c r="C55" t="s">
        <v>384</v>
      </c>
      <c r="D55" s="121" t="s">
        <v>9</v>
      </c>
      <c r="E55" t="s">
        <v>9</v>
      </c>
      <c r="F55" t="s">
        <v>9</v>
      </c>
      <c r="G55" t="s">
        <v>9</v>
      </c>
      <c r="H55" t="s">
        <v>381</v>
      </c>
      <c r="I55" t="s">
        <v>9</v>
      </c>
      <c r="J55" t="s">
        <v>383</v>
      </c>
      <c r="K55" t="s">
        <v>9</v>
      </c>
      <c r="L55" s="216" t="s">
        <v>382</v>
      </c>
      <c r="M55" s="217" t="s">
        <v>77</v>
      </c>
      <c r="N55" s="218" t="s">
        <v>77</v>
      </c>
      <c r="O55" s="121"/>
      <c r="P55" s="121"/>
      <c r="Q55" s="121"/>
      <c r="R55" s="121"/>
      <c r="S55" s="121"/>
      <c r="T55" s="136"/>
    </row>
    <row r="56" spans="2:20" ht="12.75" customHeight="1" x14ac:dyDescent="0.15">
      <c r="B56" s="150" t="s">
        <v>102</v>
      </c>
      <c r="C56" s="151" t="s">
        <v>412</v>
      </c>
      <c r="D56" s="152" t="s">
        <v>9</v>
      </c>
      <c r="F56" s="152" t="s">
        <v>9</v>
      </c>
      <c r="G56" s="152" t="s">
        <v>9</v>
      </c>
      <c r="H56" s="152" t="s">
        <v>103</v>
      </c>
      <c r="I56" t="s">
        <v>104</v>
      </c>
      <c r="J56" s="135" t="s">
        <v>105</v>
      </c>
      <c r="K56" s="135" t="s">
        <v>106</v>
      </c>
      <c r="L56" s="216" t="s">
        <v>107</v>
      </c>
      <c r="M56" s="217" t="s">
        <v>77</v>
      </c>
      <c r="N56" s="218" t="s">
        <v>77</v>
      </c>
      <c r="O56" s="121" t="s">
        <v>413</v>
      </c>
      <c r="P56" s="121" t="s">
        <v>414</v>
      </c>
      <c r="Q56" s="121" t="s">
        <v>9</v>
      </c>
      <c r="R56" s="121" t="s">
        <v>9</v>
      </c>
      <c r="S56" s="121" t="s">
        <v>415</v>
      </c>
      <c r="T56" s="136" t="s">
        <v>414</v>
      </c>
    </row>
    <row r="57" spans="2:20" ht="12.75" customHeight="1" x14ac:dyDescent="0.15">
      <c r="B57" s="132" t="s">
        <v>347</v>
      </c>
      <c r="C57" t="s">
        <v>348</v>
      </c>
      <c r="D57" t="s">
        <v>9</v>
      </c>
      <c r="E57" t="s">
        <v>9</v>
      </c>
      <c r="F57" t="s">
        <v>9</v>
      </c>
      <c r="G57" t="s">
        <v>9</v>
      </c>
      <c r="H57" t="s">
        <v>103</v>
      </c>
      <c r="I57" t="s">
        <v>9</v>
      </c>
      <c r="J57" t="s">
        <v>9</v>
      </c>
      <c r="K57" s="217" t="s">
        <v>9</v>
      </c>
      <c r="L57" s="216" t="s">
        <v>77</v>
      </c>
      <c r="M57" s="217" t="s">
        <v>77</v>
      </c>
      <c r="N57" s="218" t="s">
        <v>77</v>
      </c>
      <c r="O57" s="121" t="s">
        <v>413</v>
      </c>
      <c r="P57" s="121" t="s">
        <v>414</v>
      </c>
      <c r="Q57" s="121" t="s">
        <v>9</v>
      </c>
      <c r="R57" s="121" t="s">
        <v>9</v>
      </c>
      <c r="S57" s="121" t="s">
        <v>415</v>
      </c>
      <c r="T57" s="136" t="s">
        <v>414</v>
      </c>
    </row>
    <row r="58" spans="2:20" ht="12.75" customHeight="1" x14ac:dyDescent="0.15">
      <c r="B58" s="150" t="s">
        <v>108</v>
      </c>
      <c r="C58" s="151" t="s">
        <v>109</v>
      </c>
      <c r="D58" s="152" t="s">
        <v>9</v>
      </c>
      <c r="F58" s="152" t="s">
        <v>9</v>
      </c>
      <c r="G58" s="152" t="s">
        <v>9</v>
      </c>
      <c r="H58" s="152" t="s">
        <v>103</v>
      </c>
      <c r="I58" t="s">
        <v>104</v>
      </c>
      <c r="J58" s="135" t="s">
        <v>105</v>
      </c>
      <c r="K58" s="135" t="s">
        <v>106</v>
      </c>
      <c r="L58" s="216" t="s">
        <v>77</v>
      </c>
      <c r="M58" s="217" t="s">
        <v>77</v>
      </c>
      <c r="N58" s="218" t="s">
        <v>77</v>
      </c>
      <c r="O58" s="121" t="s">
        <v>413</v>
      </c>
      <c r="P58" s="121" t="s">
        <v>414</v>
      </c>
      <c r="Q58" s="121" t="s">
        <v>9</v>
      </c>
      <c r="R58" s="121" t="s">
        <v>9</v>
      </c>
      <c r="S58" s="121" t="s">
        <v>415</v>
      </c>
      <c r="T58" s="136" t="s">
        <v>414</v>
      </c>
    </row>
    <row r="59" spans="2:20" ht="12.75" customHeight="1" x14ac:dyDescent="0.15">
      <c r="B59" s="132" t="s">
        <v>342</v>
      </c>
      <c r="C59" t="s">
        <v>344</v>
      </c>
      <c r="D59" s="121" t="s">
        <v>9</v>
      </c>
      <c r="E59" t="s">
        <v>9</v>
      </c>
      <c r="F59" t="s">
        <v>9</v>
      </c>
      <c r="G59" t="s">
        <v>9</v>
      </c>
      <c r="H59" t="s">
        <v>343</v>
      </c>
      <c r="I59" t="s">
        <v>9</v>
      </c>
      <c r="J59" t="s">
        <v>9</v>
      </c>
      <c r="K59" t="s">
        <v>9</v>
      </c>
      <c r="L59" s="216" t="s">
        <v>77</v>
      </c>
      <c r="M59" s="217" t="s">
        <v>77</v>
      </c>
      <c r="N59" s="218" t="s">
        <v>77</v>
      </c>
      <c r="O59" s="121"/>
      <c r="P59" s="121"/>
      <c r="Q59" s="121"/>
      <c r="R59" s="121"/>
      <c r="S59" s="121"/>
      <c r="T59" s="136"/>
    </row>
    <row r="60" spans="2:20" ht="12.75" customHeight="1" x14ac:dyDescent="0.15">
      <c r="B60" s="128" t="s">
        <v>110</v>
      </c>
      <c r="C60" t="s">
        <v>111</v>
      </c>
      <c r="D60" s="121" t="s">
        <v>9</v>
      </c>
      <c r="F60" t="s">
        <v>9</v>
      </c>
      <c r="G60" t="s">
        <v>112</v>
      </c>
      <c r="H60" t="s">
        <v>13</v>
      </c>
      <c r="I60" t="s">
        <v>9</v>
      </c>
      <c r="J60" t="s">
        <v>9</v>
      </c>
      <c r="K60" t="s">
        <v>9</v>
      </c>
      <c r="L60" s="216" t="s">
        <v>77</v>
      </c>
      <c r="M60" s="217" t="s">
        <v>77</v>
      </c>
      <c r="N60" s="218" t="s">
        <v>77</v>
      </c>
      <c r="O60" s="121"/>
      <c r="P60" s="121"/>
      <c r="Q60" s="121"/>
      <c r="R60" s="121"/>
      <c r="S60" s="121"/>
      <c r="T60" s="136"/>
    </row>
    <row r="61" spans="2:20" ht="12.75" customHeight="1" x14ac:dyDescent="0.15">
      <c r="B61" s="150" t="s">
        <v>113</v>
      </c>
      <c r="C61" s="151" t="s">
        <v>114</v>
      </c>
      <c r="D61" s="152" t="s">
        <v>9</v>
      </c>
      <c r="F61" s="152" t="s">
        <v>9</v>
      </c>
      <c r="G61" s="152" t="s">
        <v>9</v>
      </c>
      <c r="H61" s="152" t="s">
        <v>9</v>
      </c>
      <c r="I61" t="s">
        <v>9</v>
      </c>
      <c r="J61" s="135" t="s">
        <v>9</v>
      </c>
      <c r="K61" s="135" t="s">
        <v>9</v>
      </c>
      <c r="L61" s="216" t="s">
        <v>77</v>
      </c>
      <c r="M61" s="217" t="s">
        <v>77</v>
      </c>
      <c r="N61" s="218" t="s">
        <v>77</v>
      </c>
      <c r="O61" s="121"/>
      <c r="P61" s="121"/>
      <c r="Q61" s="121"/>
      <c r="R61" s="121"/>
      <c r="S61" s="121"/>
      <c r="T61" s="136"/>
    </row>
    <row r="62" spans="2:20" ht="12.75" customHeight="1" x14ac:dyDescent="0.15">
      <c r="B62" s="132" t="s">
        <v>115</v>
      </c>
      <c r="C62" t="s">
        <v>116</v>
      </c>
      <c r="D62" s="121" t="s">
        <v>9</v>
      </c>
      <c r="F62" t="s">
        <v>9</v>
      </c>
      <c r="G62" t="s">
        <v>9</v>
      </c>
      <c r="H62" t="s">
        <v>117</v>
      </c>
      <c r="I62" t="s">
        <v>9</v>
      </c>
      <c r="J62" t="s">
        <v>9</v>
      </c>
      <c r="K62" t="s">
        <v>9</v>
      </c>
      <c r="L62" s="216" t="s">
        <v>77</v>
      </c>
      <c r="M62" s="217" t="s">
        <v>77</v>
      </c>
      <c r="N62" s="218" t="s">
        <v>77</v>
      </c>
      <c r="O62" s="121"/>
      <c r="P62" s="121"/>
      <c r="Q62" s="121"/>
      <c r="R62" s="121"/>
      <c r="S62" s="121"/>
      <c r="T62" s="136"/>
    </row>
    <row r="63" spans="2:20" ht="12.75" customHeight="1" x14ac:dyDescent="0.15">
      <c r="B63" s="132" t="s">
        <v>118</v>
      </c>
      <c r="C63" t="s">
        <v>119</v>
      </c>
      <c r="D63" s="121" t="s">
        <v>9</v>
      </c>
      <c r="F63" t="s">
        <v>9</v>
      </c>
      <c r="G63" t="s">
        <v>9</v>
      </c>
      <c r="H63" t="s">
        <v>120</v>
      </c>
      <c r="I63" t="s">
        <v>9</v>
      </c>
      <c r="J63" t="s">
        <v>9</v>
      </c>
      <c r="K63" t="s">
        <v>9</v>
      </c>
      <c r="L63" s="216" t="s">
        <v>77</v>
      </c>
      <c r="M63" s="217" t="s">
        <v>77</v>
      </c>
      <c r="N63" s="218" t="s">
        <v>77</v>
      </c>
      <c r="O63" s="121"/>
      <c r="P63" s="121"/>
      <c r="Q63" s="121"/>
      <c r="R63" s="121"/>
      <c r="S63" s="121"/>
      <c r="T63" s="136"/>
    </row>
    <row r="64" spans="2:20" ht="12.75" customHeight="1" x14ac:dyDescent="0.15">
      <c r="B64" s="132" t="s">
        <v>121</v>
      </c>
      <c r="C64" t="s">
        <v>122</v>
      </c>
      <c r="D64" s="121" t="s">
        <v>123</v>
      </c>
      <c r="F64" t="s">
        <v>124</v>
      </c>
      <c r="G64" t="s">
        <v>125</v>
      </c>
      <c r="H64" t="s">
        <v>126</v>
      </c>
      <c r="I64" t="s">
        <v>9</v>
      </c>
      <c r="J64" t="s">
        <v>127</v>
      </c>
      <c r="K64" t="s">
        <v>9</v>
      </c>
      <c r="L64" s="216" t="s">
        <v>77</v>
      </c>
      <c r="M64" s="217" t="s">
        <v>77</v>
      </c>
      <c r="N64" s="218" t="s">
        <v>77</v>
      </c>
      <c r="O64" s="121"/>
      <c r="P64" s="121"/>
      <c r="Q64" s="121"/>
      <c r="R64" s="121"/>
      <c r="S64" s="121"/>
      <c r="T64" s="136"/>
    </row>
    <row r="65" spans="2:20" ht="12.75" customHeight="1" x14ac:dyDescent="0.15">
      <c r="B65" s="132" t="s">
        <v>128</v>
      </c>
      <c r="C65" t="s">
        <v>129</v>
      </c>
      <c r="D65" s="121" t="s">
        <v>9</v>
      </c>
      <c r="F65" t="s">
        <v>9</v>
      </c>
      <c r="G65" t="s">
        <v>9</v>
      </c>
      <c r="H65" t="s">
        <v>130</v>
      </c>
      <c r="J65" t="s">
        <v>9</v>
      </c>
      <c r="K65" t="s">
        <v>9</v>
      </c>
      <c r="L65" s="216" t="s">
        <v>77</v>
      </c>
      <c r="M65" s="217" t="s">
        <v>77</v>
      </c>
      <c r="N65" s="218" t="s">
        <v>77</v>
      </c>
      <c r="O65" s="121"/>
      <c r="P65" s="121"/>
      <c r="Q65" s="121"/>
      <c r="R65" s="121"/>
      <c r="S65" s="121"/>
      <c r="T65" s="136"/>
    </row>
    <row r="66" spans="2:20" ht="12.75" customHeight="1" x14ac:dyDescent="0.15">
      <c r="B66" s="132" t="s">
        <v>131</v>
      </c>
      <c r="C66" t="s">
        <v>132</v>
      </c>
      <c r="D66" s="121" t="s">
        <v>9</v>
      </c>
      <c r="F66" t="s">
        <v>9</v>
      </c>
      <c r="G66" t="s">
        <v>9</v>
      </c>
      <c r="H66" t="s">
        <v>133</v>
      </c>
      <c r="I66" t="s">
        <v>9</v>
      </c>
      <c r="J66" t="s">
        <v>9</v>
      </c>
      <c r="K66" t="s">
        <v>9</v>
      </c>
      <c r="L66" s="216" t="s">
        <v>77</v>
      </c>
      <c r="M66" s="217" t="s">
        <v>77</v>
      </c>
      <c r="N66" s="218" t="s">
        <v>77</v>
      </c>
      <c r="O66" s="121"/>
      <c r="P66" s="121"/>
      <c r="Q66" s="121"/>
      <c r="R66" s="121"/>
      <c r="S66" s="121"/>
      <c r="T66" s="136"/>
    </row>
    <row r="67" spans="2:20" ht="12.75" customHeight="1" x14ac:dyDescent="0.15">
      <c r="B67" s="132" t="s">
        <v>134</v>
      </c>
      <c r="C67" t="s">
        <v>135</v>
      </c>
      <c r="D67" s="121" t="s">
        <v>9</v>
      </c>
      <c r="F67" t="s">
        <v>9</v>
      </c>
      <c r="G67" t="s">
        <v>9</v>
      </c>
      <c r="H67" t="s">
        <v>133</v>
      </c>
      <c r="J67" t="s">
        <v>9</v>
      </c>
      <c r="K67" t="s">
        <v>9</v>
      </c>
      <c r="L67" s="216" t="s">
        <v>77</v>
      </c>
      <c r="M67" s="217" t="s">
        <v>77</v>
      </c>
      <c r="N67" s="218" t="s">
        <v>77</v>
      </c>
      <c r="O67" s="121"/>
      <c r="P67" s="121"/>
      <c r="Q67" s="121"/>
      <c r="R67" s="121"/>
      <c r="S67" s="121"/>
      <c r="T67" s="136"/>
    </row>
    <row r="68" spans="2:20" ht="12.75" customHeight="1" x14ac:dyDescent="0.15">
      <c r="B68" s="132" t="s">
        <v>136</v>
      </c>
      <c r="C68" t="s">
        <v>137</v>
      </c>
      <c r="D68" s="121" t="s">
        <v>9</v>
      </c>
      <c r="F68" t="s">
        <v>9</v>
      </c>
      <c r="G68" t="s">
        <v>9</v>
      </c>
      <c r="H68" t="s">
        <v>138</v>
      </c>
      <c r="I68" t="s">
        <v>9</v>
      </c>
      <c r="J68" t="s">
        <v>9</v>
      </c>
      <c r="K68" t="s">
        <v>9</v>
      </c>
      <c r="L68" s="216" t="s">
        <v>77</v>
      </c>
      <c r="M68" s="217" t="s">
        <v>77</v>
      </c>
      <c r="N68" s="218" t="s">
        <v>77</v>
      </c>
      <c r="O68" s="121"/>
      <c r="P68" s="121"/>
      <c r="Q68" s="121"/>
      <c r="R68" s="121"/>
      <c r="S68" s="121"/>
      <c r="T68" s="136"/>
    </row>
    <row r="69" spans="2:20" ht="12.75" customHeight="1" x14ac:dyDescent="0.15">
      <c r="B69" s="132" t="s">
        <v>139</v>
      </c>
      <c r="C69" t="s">
        <v>140</v>
      </c>
      <c r="D69" s="121" t="s">
        <v>9</v>
      </c>
      <c r="F69" t="s">
        <v>9</v>
      </c>
      <c r="G69" t="s">
        <v>9</v>
      </c>
      <c r="H69" t="s">
        <v>141</v>
      </c>
      <c r="I69" t="s">
        <v>9</v>
      </c>
      <c r="J69" t="s">
        <v>9</v>
      </c>
      <c r="K69" t="s">
        <v>9</v>
      </c>
      <c r="L69" s="216" t="s">
        <v>77</v>
      </c>
      <c r="M69" s="217" t="s">
        <v>77</v>
      </c>
      <c r="N69" s="218" t="s">
        <v>77</v>
      </c>
      <c r="O69" s="121"/>
      <c r="P69" s="121"/>
      <c r="Q69" s="121"/>
      <c r="R69" s="121"/>
      <c r="S69" s="121"/>
      <c r="T69" s="136"/>
    </row>
    <row r="70" spans="2:20" ht="12.75" customHeight="1" x14ac:dyDescent="0.15">
      <c r="B70" s="132" t="s">
        <v>142</v>
      </c>
      <c r="C70" t="s">
        <v>143</v>
      </c>
      <c r="D70" s="121" t="s">
        <v>9</v>
      </c>
      <c r="F70" t="s">
        <v>9</v>
      </c>
      <c r="G70" t="s">
        <v>9</v>
      </c>
      <c r="H70" t="s">
        <v>144</v>
      </c>
      <c r="I70" t="s">
        <v>9</v>
      </c>
      <c r="J70" t="s">
        <v>9</v>
      </c>
      <c r="K70" t="s">
        <v>9</v>
      </c>
      <c r="L70" s="216" t="s">
        <v>77</v>
      </c>
      <c r="M70" s="217" t="s">
        <v>77</v>
      </c>
      <c r="N70" s="218" t="s">
        <v>77</v>
      </c>
      <c r="O70" s="121"/>
      <c r="P70" s="121"/>
      <c r="Q70" s="121"/>
      <c r="R70" s="121"/>
      <c r="S70" s="121"/>
      <c r="T70" s="136"/>
    </row>
    <row r="71" spans="2:20" x14ac:dyDescent="0.15">
      <c r="B71" s="132" t="s">
        <v>145</v>
      </c>
      <c r="C71" t="s">
        <v>146</v>
      </c>
      <c r="D71" s="121" t="s">
        <v>9</v>
      </c>
      <c r="F71" t="s">
        <v>9</v>
      </c>
      <c r="G71" t="s">
        <v>9</v>
      </c>
      <c r="H71" t="s">
        <v>147</v>
      </c>
      <c r="I71" t="s">
        <v>9</v>
      </c>
      <c r="J71" t="s">
        <v>9</v>
      </c>
      <c r="K71" t="s">
        <v>9</v>
      </c>
      <c r="L71" s="216" t="s">
        <v>77</v>
      </c>
      <c r="M71" s="217" t="s">
        <v>77</v>
      </c>
      <c r="N71" s="218" t="s">
        <v>77</v>
      </c>
      <c r="O71" s="121"/>
      <c r="P71" s="121"/>
      <c r="Q71" s="121"/>
      <c r="R71" s="121"/>
      <c r="S71" s="121"/>
      <c r="T71" s="136"/>
    </row>
    <row r="72" spans="2:20" x14ac:dyDescent="0.15">
      <c r="B72" s="132" t="s">
        <v>148</v>
      </c>
      <c r="C72" t="s">
        <v>149</v>
      </c>
      <c r="D72" s="121" t="s">
        <v>150</v>
      </c>
      <c r="F72">
        <v>0.17917</v>
      </c>
      <c r="G72" t="s">
        <v>14</v>
      </c>
      <c r="H72" t="s">
        <v>15</v>
      </c>
      <c r="I72" t="s">
        <v>209</v>
      </c>
      <c r="J72" t="s">
        <v>151</v>
      </c>
      <c r="K72" t="s">
        <v>152</v>
      </c>
      <c r="L72" s="216" t="s">
        <v>153</v>
      </c>
      <c r="M72" s="217" t="s">
        <v>154</v>
      </c>
      <c r="N72" s="218" t="s">
        <v>77</v>
      </c>
      <c r="O72" s="121"/>
      <c r="P72" s="121"/>
      <c r="Q72" s="121"/>
      <c r="R72" s="121"/>
      <c r="S72" s="121"/>
      <c r="T72" s="136"/>
    </row>
    <row r="73" spans="2:20" x14ac:dyDescent="0.15">
      <c r="B73" s="132" t="s">
        <v>155</v>
      </c>
      <c r="C73" t="s">
        <v>156</v>
      </c>
      <c r="D73" s="121" t="s">
        <v>157</v>
      </c>
      <c r="F73" t="s">
        <v>158</v>
      </c>
      <c r="G73" t="s">
        <v>10</v>
      </c>
      <c r="H73" t="s">
        <v>11</v>
      </c>
      <c r="J73" t="s">
        <v>9</v>
      </c>
      <c r="K73" t="s">
        <v>9</v>
      </c>
      <c r="L73" s="216" t="s">
        <v>159</v>
      </c>
      <c r="M73" s="217" t="s">
        <v>77</v>
      </c>
      <c r="N73" s="218" t="s">
        <v>77</v>
      </c>
      <c r="O73" s="121"/>
      <c r="P73" s="121"/>
      <c r="Q73" s="121"/>
      <c r="R73" s="121"/>
      <c r="S73" s="121"/>
      <c r="T73" s="136"/>
    </row>
    <row r="74" spans="2:20" x14ac:dyDescent="0.15">
      <c r="B74" s="132" t="s">
        <v>160</v>
      </c>
      <c r="C74" t="s">
        <v>161</v>
      </c>
      <c r="D74" s="121" t="s">
        <v>327</v>
      </c>
      <c r="E74" t="s">
        <v>328</v>
      </c>
      <c r="F74" t="s">
        <v>329</v>
      </c>
      <c r="G74" t="s">
        <v>330</v>
      </c>
      <c r="H74" t="s">
        <v>331</v>
      </c>
      <c r="I74" t="s">
        <v>8</v>
      </c>
      <c r="J74" t="s">
        <v>7</v>
      </c>
      <c r="K74" t="s">
        <v>162</v>
      </c>
      <c r="L74" s="216" t="s">
        <v>196</v>
      </c>
      <c r="M74" s="217" t="s">
        <v>163</v>
      </c>
      <c r="N74" s="218" t="s">
        <v>77</v>
      </c>
      <c r="O74" s="121"/>
      <c r="P74" s="121"/>
      <c r="Q74" s="121"/>
      <c r="R74" s="121"/>
      <c r="S74" s="121"/>
      <c r="T74" s="136"/>
    </row>
    <row r="75" spans="2:20" x14ac:dyDescent="0.15">
      <c r="B75" s="132" t="s">
        <v>164</v>
      </c>
      <c r="C75" t="s">
        <v>165</v>
      </c>
      <c r="D75" s="121" t="s">
        <v>166</v>
      </c>
      <c r="F75" t="s">
        <v>9</v>
      </c>
      <c r="G75" t="s">
        <v>167</v>
      </c>
      <c r="H75" t="s">
        <v>168</v>
      </c>
      <c r="I75" t="s">
        <v>169</v>
      </c>
      <c r="J75" t="s">
        <v>170</v>
      </c>
      <c r="K75" t="s">
        <v>9</v>
      </c>
      <c r="L75" s="216" t="s">
        <v>171</v>
      </c>
      <c r="M75" s="217" t="s">
        <v>172</v>
      </c>
      <c r="N75" s="218" t="s">
        <v>77</v>
      </c>
      <c r="O75" s="121"/>
      <c r="P75" s="121"/>
      <c r="Q75" s="121"/>
      <c r="R75" s="121"/>
      <c r="S75" s="121"/>
      <c r="T75" s="136"/>
    </row>
    <row r="76" spans="2:20" x14ac:dyDescent="0.15">
      <c r="B76" s="132" t="s">
        <v>173</v>
      </c>
      <c r="C76" t="s">
        <v>174</v>
      </c>
      <c r="H76">
        <v>4.4000000000000004</v>
      </c>
      <c r="L76" s="216" t="s">
        <v>77</v>
      </c>
      <c r="M76" s="217" t="s">
        <v>77</v>
      </c>
      <c r="N76" s="218" t="s">
        <v>77</v>
      </c>
      <c r="O76" s="121"/>
      <c r="P76" s="121"/>
      <c r="Q76" s="121"/>
      <c r="R76" s="121"/>
      <c r="S76" s="121"/>
      <c r="T76" s="136"/>
    </row>
    <row r="77" spans="2:20" x14ac:dyDescent="0.15">
      <c r="B77" s="132" t="s">
        <v>175</v>
      </c>
      <c r="C77" t="s">
        <v>176</v>
      </c>
      <c r="D77" s="121" t="s">
        <v>177</v>
      </c>
      <c r="F77" t="s">
        <v>178</v>
      </c>
      <c r="G77" t="s">
        <v>12</v>
      </c>
      <c r="H77" t="s">
        <v>13</v>
      </c>
      <c r="I77" t="s">
        <v>179</v>
      </c>
      <c r="J77" t="s">
        <v>180</v>
      </c>
      <c r="K77" t="s">
        <v>181</v>
      </c>
      <c r="L77" s="216" t="s">
        <v>199</v>
      </c>
      <c r="M77" s="217" t="s">
        <v>198</v>
      </c>
      <c r="N77" s="218" t="s">
        <v>77</v>
      </c>
      <c r="O77" s="121"/>
      <c r="P77" s="121"/>
      <c r="Q77" s="121"/>
      <c r="R77" s="121"/>
      <c r="S77" s="121"/>
      <c r="T77" s="136"/>
    </row>
    <row r="78" spans="2:20" x14ac:dyDescent="0.15">
      <c r="B78" s="132" t="s">
        <v>182</v>
      </c>
      <c r="C78" t="s">
        <v>183</v>
      </c>
      <c r="H78">
        <v>417</v>
      </c>
      <c r="J78" t="s">
        <v>184</v>
      </c>
      <c r="K78">
        <v>14.3</v>
      </c>
      <c r="L78" s="216" t="s">
        <v>77</v>
      </c>
      <c r="M78" s="217" t="s">
        <v>77</v>
      </c>
      <c r="N78" s="218" t="s">
        <v>77</v>
      </c>
      <c r="O78" s="121"/>
      <c r="P78" s="121"/>
      <c r="Q78" s="121"/>
      <c r="R78" s="121"/>
      <c r="S78" s="121"/>
      <c r="T78" s="136"/>
    </row>
    <row r="79" spans="2:20" x14ac:dyDescent="0.15">
      <c r="B79" s="132" t="s">
        <v>185</v>
      </c>
      <c r="C79" t="s">
        <v>186</v>
      </c>
      <c r="H79">
        <v>417</v>
      </c>
      <c r="J79" t="s">
        <v>187</v>
      </c>
      <c r="L79" s="216" t="s">
        <v>77</v>
      </c>
      <c r="M79" s="217" t="s">
        <v>77</v>
      </c>
      <c r="N79" s="218" t="s">
        <v>77</v>
      </c>
      <c r="O79" s="121"/>
      <c r="P79" s="121"/>
      <c r="Q79" s="121"/>
      <c r="R79" s="121"/>
      <c r="S79" s="121"/>
      <c r="T79" s="136"/>
    </row>
    <row r="80" spans="2:20" x14ac:dyDescent="0.15">
      <c r="B80" s="132"/>
      <c r="L80" s="216"/>
      <c r="M80" s="217"/>
      <c r="N80" s="218"/>
      <c r="O80" s="121"/>
      <c r="P80" s="121"/>
      <c r="Q80" s="121"/>
      <c r="R80" s="121"/>
      <c r="S80" s="121"/>
      <c r="T80" s="136"/>
    </row>
    <row r="81" spans="2:20" x14ac:dyDescent="0.15">
      <c r="B81" s="132"/>
      <c r="L81" s="216"/>
      <c r="M81" s="217"/>
      <c r="N81" s="218"/>
      <c r="O81" s="121"/>
      <c r="P81" s="121"/>
      <c r="Q81" s="121"/>
      <c r="R81" s="121"/>
      <c r="S81" s="121"/>
      <c r="T81" s="136"/>
    </row>
    <row r="82" spans="2:20" x14ac:dyDescent="0.15">
      <c r="B82" s="132"/>
      <c r="L82" s="216"/>
      <c r="M82" s="217"/>
      <c r="N82" s="218"/>
      <c r="O82" s="121"/>
      <c r="P82" s="121"/>
      <c r="Q82" s="121"/>
      <c r="R82" s="121"/>
      <c r="S82" s="121"/>
      <c r="T82" s="136"/>
    </row>
    <row r="83" spans="2:20" x14ac:dyDescent="0.15">
      <c r="B83" s="132"/>
      <c r="L83" s="216"/>
      <c r="M83" s="217"/>
      <c r="N83" s="218"/>
      <c r="O83" s="121"/>
      <c r="P83" s="121"/>
      <c r="Q83" s="121"/>
      <c r="R83" s="121"/>
      <c r="S83" s="121"/>
      <c r="T83" s="136"/>
    </row>
    <row r="84" spans="2:20" x14ac:dyDescent="0.15">
      <c r="B84" s="132"/>
      <c r="L84" s="216"/>
      <c r="M84" s="217"/>
      <c r="N84" s="218"/>
      <c r="O84" s="121"/>
      <c r="P84" s="121"/>
      <c r="Q84" s="121"/>
      <c r="R84" s="121"/>
      <c r="S84" s="121"/>
      <c r="T84" s="136"/>
    </row>
    <row r="85" spans="2:20" x14ac:dyDescent="0.15">
      <c r="B85" s="132"/>
      <c r="L85" s="216"/>
      <c r="M85" s="217"/>
      <c r="N85" s="218"/>
      <c r="O85" s="121"/>
      <c r="P85" s="121"/>
      <c r="Q85" s="121"/>
      <c r="R85" s="121"/>
      <c r="S85" s="121"/>
      <c r="T85" s="136"/>
    </row>
  </sheetData>
  <sortState xmlns:xlrd2="http://schemas.microsoft.com/office/spreadsheetml/2017/richdata2" ref="B39:N80">
    <sortCondition ref="B39:B80"/>
  </sortState>
  <mergeCells count="6">
    <mergeCell ref="O16:O17"/>
    <mergeCell ref="B16:B17"/>
    <mergeCell ref="B30:B31"/>
    <mergeCell ref="L30:L31"/>
    <mergeCell ref="B23:B24"/>
    <mergeCell ref="N23:N24"/>
  </mergeCells>
  <conditionalFormatting sqref="E27:F27">
    <cfRule type="cellIs" dxfId="310" priority="567" stopIfTrue="1" operator="lessThan">
      <formula>0.1</formula>
    </cfRule>
    <cfRule type="cellIs" dxfId="309" priority="568" stopIfTrue="1" operator="lessThan">
      <formula>1</formula>
    </cfRule>
    <cfRule type="cellIs" dxfId="308" priority="569" operator="lessThan">
      <formula>10</formula>
    </cfRule>
  </conditionalFormatting>
  <conditionalFormatting sqref="E35:F35">
    <cfRule type="cellIs" dxfId="307" priority="563" stopIfTrue="1" operator="lessThan">
      <formula>0.1</formula>
    </cfRule>
    <cfRule type="cellIs" dxfId="306" priority="564" stopIfTrue="1" operator="lessThan">
      <formula>1</formula>
    </cfRule>
    <cfRule type="cellIs" dxfId="305" priority="565" operator="lessThan">
      <formula>10</formula>
    </cfRule>
  </conditionalFormatting>
  <conditionalFormatting sqref="H35 J35">
    <cfRule type="cellIs" dxfId="304" priority="541" stopIfTrue="1" operator="between">
      <formula>0.001</formula>
      <formula>-0.001</formula>
    </cfRule>
    <cfRule type="cellIs" dxfId="303" priority="542" stopIfTrue="1" operator="between">
      <formula>0.01</formula>
      <formula>-0.01</formula>
    </cfRule>
    <cfRule type="cellIs" dxfId="302" priority="543" stopIfTrue="1" operator="between">
      <formula>0.1</formula>
      <formula>-0.1</formula>
    </cfRule>
    <cfRule type="cellIs" dxfId="301" priority="544" stopIfTrue="1" operator="between">
      <formula>1</formula>
      <formula>-1</formula>
    </cfRule>
    <cfRule type="cellIs" dxfId="300" priority="545" stopIfTrue="1" operator="between">
      <formula>10</formula>
      <formula>-10</formula>
    </cfRule>
    <cfRule type="cellIs" dxfId="299" priority="546" stopIfTrue="1" operator="between">
      <formula>100</formula>
      <formula>-100</formula>
    </cfRule>
    <cfRule type="cellIs" dxfId="298" priority="547" operator="between">
      <formula>1000</formula>
      <formula>-1000</formula>
    </cfRule>
  </conditionalFormatting>
  <conditionalFormatting sqref="H27 J27">
    <cfRule type="cellIs" dxfId="297" priority="554" stopIfTrue="1" operator="between">
      <formula>0.001</formula>
      <formula>-0.001</formula>
    </cfRule>
    <cfRule type="cellIs" dxfId="296" priority="555" stopIfTrue="1" operator="between">
      <formula>0.01</formula>
      <formula>-0.01</formula>
    </cfRule>
    <cfRule type="cellIs" dxfId="295" priority="556" stopIfTrue="1" operator="between">
      <formula>0.1</formula>
      <formula>-0.1</formula>
    </cfRule>
    <cfRule type="cellIs" dxfId="294" priority="557" stopIfTrue="1" operator="between">
      <formula>1</formula>
      <formula>-1</formula>
    </cfRule>
    <cfRule type="cellIs" dxfId="293" priority="558" stopIfTrue="1" operator="between">
      <formula>10</formula>
      <formula>-10</formula>
    </cfRule>
    <cfRule type="cellIs" dxfId="292" priority="559" stopIfTrue="1" operator="between">
      <formula>100</formula>
      <formula>-100</formula>
    </cfRule>
    <cfRule type="cellIs" dxfId="291" priority="560" operator="between">
      <formula>1000</formula>
      <formula>-1000</formula>
    </cfRule>
  </conditionalFormatting>
  <conditionalFormatting sqref="I27 K27">
    <cfRule type="cellIs" dxfId="290" priority="527" stopIfTrue="1" operator="lessThan">
      <formula>0.001</formula>
    </cfRule>
    <cfRule type="cellIs" dxfId="289" priority="528" stopIfTrue="1" operator="lessThan">
      <formula>0.01</formula>
    </cfRule>
    <cfRule type="cellIs" dxfId="288" priority="529" stopIfTrue="1" operator="lessThan">
      <formula>0.1</formula>
    </cfRule>
    <cfRule type="cellIs" dxfId="287" priority="530" stopIfTrue="1" operator="lessThan">
      <formula>1</formula>
    </cfRule>
    <cfRule type="cellIs" dxfId="286" priority="531" operator="lessThan">
      <formula>10</formula>
    </cfRule>
  </conditionalFormatting>
  <conditionalFormatting sqref="I35 K35">
    <cfRule type="cellIs" dxfId="285" priority="521" stopIfTrue="1" operator="lessThan">
      <formula>0.001</formula>
    </cfRule>
    <cfRule type="cellIs" dxfId="284" priority="522" stopIfTrue="1" operator="lessThan">
      <formula>0.01</formula>
    </cfRule>
    <cfRule type="cellIs" dxfId="283" priority="523" stopIfTrue="1" operator="lessThan">
      <formula>0.1</formula>
    </cfRule>
    <cfRule type="cellIs" dxfId="282" priority="524" stopIfTrue="1" operator="lessThan">
      <formula>1</formula>
    </cfRule>
    <cfRule type="cellIs" dxfId="281" priority="525" operator="lessThan">
      <formula>10</formula>
    </cfRule>
  </conditionalFormatting>
  <conditionalFormatting sqref="N27">
    <cfRule type="cellIs" dxfId="280" priority="518" stopIfTrue="1" operator="lessThan">
      <formula>1</formula>
    </cfRule>
    <cfRule type="cellIs" dxfId="279" priority="519" operator="lessThan">
      <formula>10</formula>
    </cfRule>
  </conditionalFormatting>
  <conditionalFormatting sqref="L35">
    <cfRule type="cellIs" dxfId="278" priority="515" stopIfTrue="1" operator="lessThan">
      <formula>1</formula>
    </cfRule>
    <cfRule type="cellIs" dxfId="277" priority="516" operator="lessThan">
      <formula>10</formula>
    </cfRule>
  </conditionalFormatting>
  <conditionalFormatting sqref="G27">
    <cfRule type="cellIs" dxfId="276" priority="509" stopIfTrue="1" operator="lessThan">
      <formula>0.001</formula>
    </cfRule>
    <cfRule type="cellIs" dxfId="275" priority="510" stopIfTrue="1" operator="lessThan">
      <formula>0.01</formula>
    </cfRule>
    <cfRule type="cellIs" dxfId="274" priority="511" stopIfTrue="1" operator="lessThan">
      <formula>0.1</formula>
    </cfRule>
    <cfRule type="cellIs" dxfId="273" priority="512" operator="lessThan">
      <formula>10</formula>
    </cfRule>
  </conditionalFormatting>
  <conditionalFormatting sqref="G35">
    <cfRule type="cellIs" dxfId="272" priority="505" stopIfTrue="1" operator="lessThan">
      <formula>0.001</formula>
    </cfRule>
    <cfRule type="cellIs" dxfId="271" priority="506" stopIfTrue="1" operator="lessThan">
      <formula>0.01</formula>
    </cfRule>
    <cfRule type="cellIs" dxfId="270" priority="507" stopIfTrue="1" operator="lessThan">
      <formula>0.1</formula>
    </cfRule>
    <cfRule type="cellIs" dxfId="269" priority="508" operator="lessThan">
      <formula>10</formula>
    </cfRule>
  </conditionalFormatting>
  <conditionalFormatting sqref="E20:F20">
    <cfRule type="cellIs" dxfId="268" priority="499" stopIfTrue="1" operator="lessThan">
      <formula>0.1</formula>
    </cfRule>
    <cfRule type="cellIs" dxfId="267" priority="500" stopIfTrue="1" operator="lessThan">
      <formula>1</formula>
    </cfRule>
    <cfRule type="cellIs" dxfId="266" priority="501" operator="lessThan">
      <formula>10</formula>
    </cfRule>
  </conditionalFormatting>
  <conditionalFormatting sqref="E21:F21">
    <cfRule type="cellIs" dxfId="265" priority="496" stopIfTrue="1" operator="lessThan">
      <formula>0.1</formula>
    </cfRule>
    <cfRule type="cellIs" dxfId="264" priority="497" stopIfTrue="1" operator="lessThan">
      <formula>1</formula>
    </cfRule>
    <cfRule type="cellIs" dxfId="263" priority="498" operator="lessThan">
      <formula>10</formula>
    </cfRule>
  </conditionalFormatting>
  <conditionalFormatting sqref="G20:G21">
    <cfRule type="cellIs" dxfId="262" priority="492" stopIfTrue="1" operator="lessThan">
      <formula>0.001</formula>
    </cfRule>
    <cfRule type="cellIs" dxfId="261" priority="493" stopIfTrue="1" operator="lessThan">
      <formula>0.01</formula>
    </cfRule>
    <cfRule type="cellIs" dxfId="260" priority="494" stopIfTrue="1" operator="lessThan">
      <formula>0.1</formula>
    </cfRule>
    <cfRule type="cellIs" dxfId="259" priority="495" operator="lessThan">
      <formula>10</formula>
    </cfRule>
  </conditionalFormatting>
  <conditionalFormatting sqref="H20:H21">
    <cfRule type="cellIs" dxfId="258" priority="487" stopIfTrue="1" operator="lessThan">
      <formula>0.001</formula>
    </cfRule>
    <cfRule type="cellIs" dxfId="257" priority="488" stopIfTrue="1" operator="lessThan">
      <formula>0.01</formula>
    </cfRule>
    <cfRule type="cellIs" dxfId="256" priority="489" stopIfTrue="1" operator="lessThan">
      <formula>0.1</formula>
    </cfRule>
    <cfRule type="cellIs" dxfId="255" priority="490" stopIfTrue="1" operator="lessThan">
      <formula>1</formula>
    </cfRule>
    <cfRule type="cellIs" dxfId="254" priority="491" operator="lessThan">
      <formula>10</formula>
    </cfRule>
  </conditionalFormatting>
  <conditionalFormatting sqref="I20 K20 M20">
    <cfRule type="cellIs" dxfId="253" priority="477" stopIfTrue="1" operator="between">
      <formula>0.01</formula>
      <formula>-0.01</formula>
    </cfRule>
    <cfRule type="cellIs" dxfId="252" priority="478" stopIfTrue="1" operator="between">
      <formula>0.1</formula>
      <formula>-0.1</formula>
    </cfRule>
    <cfRule type="cellIs" dxfId="251" priority="479" stopIfTrue="1" operator="between">
      <formula>1</formula>
      <formula>-1</formula>
    </cfRule>
    <cfRule type="cellIs" dxfId="250" priority="480" stopIfTrue="1" operator="between">
      <formula>10</formula>
      <formula>-10</formula>
    </cfRule>
    <cfRule type="cellIs" dxfId="249" priority="481" operator="between">
      <formula>100</formula>
      <formula>-100</formula>
    </cfRule>
  </conditionalFormatting>
  <conditionalFormatting sqref="I21 K21 M21">
    <cfRule type="cellIs" dxfId="248" priority="472" stopIfTrue="1" operator="between">
      <formula>0.01</formula>
      <formula>-0.01</formula>
    </cfRule>
    <cfRule type="cellIs" dxfId="247" priority="473" stopIfTrue="1" operator="between">
      <formula>0.1</formula>
      <formula>-0.1</formula>
    </cfRule>
    <cfRule type="cellIs" dxfId="246" priority="474" stopIfTrue="1" operator="between">
      <formula>1</formula>
      <formula>-1</formula>
    </cfRule>
    <cfRule type="cellIs" dxfId="245" priority="475" stopIfTrue="1" operator="between">
      <formula>10</formula>
      <formula>-10</formula>
    </cfRule>
    <cfRule type="cellIs" dxfId="244" priority="476" operator="between">
      <formula>100</formula>
      <formula>-100</formula>
    </cfRule>
  </conditionalFormatting>
  <conditionalFormatting sqref="J20 L20 N20">
    <cfRule type="cellIs" dxfId="243" priority="456" stopIfTrue="1" operator="lessThan">
      <formula>0.001</formula>
    </cfRule>
    <cfRule type="cellIs" dxfId="242" priority="457" stopIfTrue="1" operator="lessThan">
      <formula>0.01</formula>
    </cfRule>
    <cfRule type="cellIs" dxfId="241" priority="458" stopIfTrue="1" operator="lessThan">
      <formula>0.1</formula>
    </cfRule>
    <cfRule type="cellIs" dxfId="240" priority="459" stopIfTrue="1" operator="lessThan">
      <formula>1</formula>
    </cfRule>
    <cfRule type="cellIs" dxfId="239" priority="460" operator="lessThan">
      <formula>10</formula>
    </cfRule>
  </conditionalFormatting>
  <conditionalFormatting sqref="J21 L21 N21">
    <cfRule type="cellIs" dxfId="238" priority="451" stopIfTrue="1" operator="lessThan">
      <formula>0.001</formula>
    </cfRule>
    <cfRule type="cellIs" dxfId="237" priority="452" stopIfTrue="1" operator="lessThan">
      <formula>0.01</formula>
    </cfRule>
    <cfRule type="cellIs" dxfId="236" priority="453" stopIfTrue="1" operator="lessThan">
      <formula>0.1</formula>
    </cfRule>
    <cfRule type="cellIs" dxfId="235" priority="454" stopIfTrue="1" operator="lessThan">
      <formula>1</formula>
    </cfRule>
    <cfRule type="cellIs" dxfId="234" priority="455" operator="lessThan">
      <formula>10</formula>
    </cfRule>
  </conditionalFormatting>
  <conditionalFormatting sqref="O20">
    <cfRule type="cellIs" dxfId="233" priority="447" stopIfTrue="1" operator="lessThan">
      <formula>1</formula>
    </cfRule>
    <cfRule type="cellIs" dxfId="232" priority="448" operator="lessThan">
      <formula>10</formula>
    </cfRule>
  </conditionalFormatting>
  <conditionalFormatting sqref="O21">
    <cfRule type="cellIs" dxfId="231" priority="445" stopIfTrue="1" operator="lessThan">
      <formula>1</formula>
    </cfRule>
    <cfRule type="cellIs" dxfId="230" priority="446" operator="lessThan">
      <formula>10</formula>
    </cfRule>
  </conditionalFormatting>
  <conditionalFormatting sqref="R20 T20">
    <cfRule type="cellIs" dxfId="229" priority="441" stopIfTrue="1" operator="between">
      <formula>0.1</formula>
      <formula>-0.1</formula>
    </cfRule>
    <cfRule type="cellIs" dxfId="228" priority="442" stopIfTrue="1" operator="between">
      <formula>1</formula>
      <formula>-1</formula>
    </cfRule>
    <cfRule type="cellIs" dxfId="227" priority="443" operator="between">
      <formula>10</formula>
      <formula>-10</formula>
    </cfRule>
  </conditionalFormatting>
  <conditionalFormatting sqref="P20 R20 T20">
    <cfRule type="cellIs" dxfId="226" priority="418" stopIfTrue="1" operator="between">
      <formula>0.1</formula>
      <formula>-0.1</formula>
    </cfRule>
    <cfRule type="cellIs" dxfId="225" priority="419" stopIfTrue="1" operator="between">
      <formula>1</formula>
      <formula>-1</formula>
    </cfRule>
    <cfRule type="cellIs" dxfId="224" priority="420" stopIfTrue="1" operator="between">
      <formula>10</formula>
      <formula>-10</formula>
    </cfRule>
    <cfRule type="cellIs" dxfId="223" priority="421" stopIfTrue="1" operator="between">
      <formula>100</formula>
      <formula>-100</formula>
    </cfRule>
    <cfRule type="cellIs" dxfId="222" priority="422" operator="between">
      <formula>1000</formula>
      <formula>-1000</formula>
    </cfRule>
  </conditionalFormatting>
  <conditionalFormatting sqref="P21 R21 T21">
    <cfRule type="cellIs" dxfId="221" priority="413" stopIfTrue="1" operator="between">
      <formula>0.1</formula>
      <formula>-0.1</formula>
    </cfRule>
    <cfRule type="cellIs" dxfId="220" priority="414" stopIfTrue="1" operator="between">
      <formula>1</formula>
      <formula>-1</formula>
    </cfRule>
    <cfRule type="cellIs" dxfId="219" priority="415" stopIfTrue="1" operator="between">
      <formula>10</formula>
      <formula>-10</formula>
    </cfRule>
    <cfRule type="cellIs" dxfId="218" priority="416" stopIfTrue="1" operator="between">
      <formula>100</formula>
      <formula>-100</formula>
    </cfRule>
    <cfRule type="cellIs" dxfId="217" priority="417" operator="between">
      <formula>1000</formula>
      <formula>-1000</formula>
    </cfRule>
  </conditionalFormatting>
  <conditionalFormatting sqref="Q20">
    <cfRule type="expression" dxfId="216" priority="406" stopIfTrue="1">
      <formula>AND(P20&lt;0.1,P20&gt;-0.1)</formula>
    </cfRule>
    <cfRule type="expression" dxfId="215" priority="407" stopIfTrue="1">
      <formula>AND(P20&gt;-1,P20&lt;1)</formula>
    </cfRule>
    <cfRule type="expression" dxfId="214" priority="408" stopIfTrue="1">
      <formula>AND(P20&gt;-10,P20&lt;10)</formula>
    </cfRule>
    <cfRule type="expression" dxfId="213" priority="409" stopIfTrue="1">
      <formula>AND(P20&gt;-100,P20&lt;100)</formula>
    </cfRule>
    <cfRule type="expression" dxfId="212" priority="410">
      <formula>AND(P20&gt;-1000,P20&lt;1000)</formula>
    </cfRule>
  </conditionalFormatting>
  <conditionalFormatting sqref="Q21">
    <cfRule type="expression" dxfId="211" priority="401" stopIfTrue="1">
      <formula>AND(P21&lt;0.1,P21&gt;-0.1)</formula>
    </cfRule>
    <cfRule type="expression" dxfId="210" priority="402" stopIfTrue="1">
      <formula>AND(P21&gt;-1,P21&lt;1)</formula>
    </cfRule>
    <cfRule type="expression" dxfId="209" priority="403" stopIfTrue="1">
      <formula>AND(P21&gt;-10,P21&lt;10)</formula>
    </cfRule>
    <cfRule type="expression" dxfId="208" priority="404" stopIfTrue="1">
      <formula>AND(P21&gt;-100,P21&lt;100)</formula>
    </cfRule>
    <cfRule type="expression" dxfId="207" priority="405">
      <formula>AND(P21&gt;-1000,P21&lt;1000)</formula>
    </cfRule>
  </conditionalFormatting>
  <conditionalFormatting sqref="S20">
    <cfRule type="expression" dxfId="206" priority="386" stopIfTrue="1">
      <formula>AND(R20&lt;0.1,R20&gt;-0.1)</formula>
    </cfRule>
    <cfRule type="expression" dxfId="205" priority="387" stopIfTrue="1">
      <formula>AND(R20&gt;-1,R20&lt;1)</formula>
    </cfRule>
    <cfRule type="expression" dxfId="204" priority="388" stopIfTrue="1">
      <formula>AND(R20&gt;-10,R20&lt;10)</formula>
    </cfRule>
    <cfRule type="expression" dxfId="203" priority="389" stopIfTrue="1">
      <formula>AND(R20&gt;-100,R20&lt;100)</formula>
    </cfRule>
    <cfRule type="expression" dxfId="202" priority="390">
      <formula>AND(R20&gt;-1000,R20&lt;1000)</formula>
    </cfRule>
  </conditionalFormatting>
  <conditionalFormatting sqref="S21">
    <cfRule type="expression" dxfId="201" priority="381" stopIfTrue="1">
      <formula>AND(R21&lt;0.1,R21&gt;-0.1)</formula>
    </cfRule>
    <cfRule type="expression" dxfId="200" priority="382" stopIfTrue="1">
      <formula>AND(R21&gt;-1,R21&lt;1)</formula>
    </cfRule>
    <cfRule type="expression" dxfId="199" priority="383" stopIfTrue="1">
      <formula>AND(R21&gt;-10,R21&lt;10)</formula>
    </cfRule>
    <cfRule type="expression" dxfId="198" priority="384" stopIfTrue="1">
      <formula>AND(R21&gt;-100,R21&lt;100)</formula>
    </cfRule>
    <cfRule type="expression" dxfId="197" priority="385">
      <formula>AND(R21&gt;-1000,R21&lt;1000)</formula>
    </cfRule>
  </conditionalFormatting>
  <conditionalFormatting sqref="U20">
    <cfRule type="expression" dxfId="196" priority="376" stopIfTrue="1">
      <formula>AND(T20&lt;0.1,T20&gt;-0.1)</formula>
    </cfRule>
    <cfRule type="expression" dxfId="195" priority="377" stopIfTrue="1">
      <formula>AND(T20&gt;-1,T20&lt;1)</formula>
    </cfRule>
    <cfRule type="expression" dxfId="194" priority="378" stopIfTrue="1">
      <formula>AND(T20&gt;-10,T20&lt;10)</formula>
    </cfRule>
    <cfRule type="expression" dxfId="193" priority="379" stopIfTrue="1">
      <formula>AND(T20&gt;-100,T20&lt;100)</formula>
    </cfRule>
    <cfRule type="expression" dxfId="192" priority="380">
      <formula>AND(T20&gt;-1000,T20&lt;1000)</formula>
    </cfRule>
  </conditionalFormatting>
  <conditionalFormatting sqref="U21">
    <cfRule type="expression" dxfId="191" priority="371" stopIfTrue="1">
      <formula>AND(T21&lt;0.1,T21&gt;-0.1)</formula>
    </cfRule>
    <cfRule type="expression" dxfId="190" priority="372" stopIfTrue="1">
      <formula>AND(T21&gt;-1,T21&lt;1)</formula>
    </cfRule>
    <cfRule type="expression" dxfId="189" priority="373" stopIfTrue="1">
      <formula>AND(T21&gt;-10,T21&lt;10)</formula>
    </cfRule>
    <cfRule type="expression" dxfId="188" priority="374" stopIfTrue="1">
      <formula>AND(T21&gt;-100,T21&lt;100)</formula>
    </cfRule>
    <cfRule type="expression" dxfId="187" priority="375">
      <formula>AND(T21&gt;-1000,T21&lt;1000)</formula>
    </cfRule>
  </conditionalFormatting>
  <conditionalFormatting sqref="E28:F28">
    <cfRule type="cellIs" dxfId="186" priority="345" stopIfTrue="1" operator="lessThan">
      <formula>0.1</formula>
    </cfRule>
    <cfRule type="cellIs" dxfId="185" priority="346" stopIfTrue="1" operator="lessThan">
      <formula>1</formula>
    </cfRule>
    <cfRule type="cellIs" dxfId="184" priority="347" operator="lessThan">
      <formula>10</formula>
    </cfRule>
  </conditionalFormatting>
  <conditionalFormatting sqref="H28 J28">
    <cfRule type="cellIs" dxfId="183" priority="331" stopIfTrue="1" operator="between">
      <formula>0.001</formula>
      <formula>-0.001</formula>
    </cfRule>
    <cfRule type="cellIs" dxfId="182" priority="332" stopIfTrue="1" operator="between">
      <formula>0.01</formula>
      <formula>-0.01</formula>
    </cfRule>
    <cfRule type="cellIs" dxfId="181" priority="333" stopIfTrue="1" operator="between">
      <formula>0.1</formula>
      <formula>-0.1</formula>
    </cfRule>
    <cfRule type="cellIs" dxfId="180" priority="334" stopIfTrue="1" operator="between">
      <formula>1</formula>
      <formula>-1</formula>
    </cfRule>
    <cfRule type="cellIs" dxfId="179" priority="335" stopIfTrue="1" operator="between">
      <formula>10</formula>
      <formula>-10</formula>
    </cfRule>
    <cfRule type="cellIs" dxfId="178" priority="336" stopIfTrue="1" operator="between">
      <formula>100</formula>
      <formula>-100</formula>
    </cfRule>
    <cfRule type="cellIs" dxfId="177" priority="337" operator="between">
      <formula>1000</formula>
      <formula>-1000</formula>
    </cfRule>
  </conditionalFormatting>
  <conditionalFormatting sqref="I28 K28">
    <cfRule type="cellIs" dxfId="176" priority="316" stopIfTrue="1" operator="lessThan">
      <formula>0.001</formula>
    </cfRule>
    <cfRule type="cellIs" dxfId="175" priority="317" stopIfTrue="1" operator="lessThan">
      <formula>0.01</formula>
    </cfRule>
    <cfRule type="cellIs" dxfId="174" priority="318" stopIfTrue="1" operator="lessThan">
      <formula>0.1</formula>
    </cfRule>
    <cfRule type="cellIs" dxfId="173" priority="319" stopIfTrue="1" operator="lessThan">
      <formula>1</formula>
    </cfRule>
    <cfRule type="cellIs" dxfId="172" priority="320" operator="lessThan">
      <formula>10</formula>
    </cfRule>
  </conditionalFormatting>
  <conditionalFormatting sqref="N28">
    <cfRule type="cellIs" dxfId="171" priority="312" stopIfTrue="1" operator="lessThan">
      <formula>1</formula>
    </cfRule>
    <cfRule type="cellIs" dxfId="170" priority="313" operator="lessThan">
      <formula>10</formula>
    </cfRule>
  </conditionalFormatting>
  <conditionalFormatting sqref="G28">
    <cfRule type="cellIs" dxfId="169" priority="304" stopIfTrue="1" operator="lessThan">
      <formula>0.001</formula>
    </cfRule>
    <cfRule type="cellIs" dxfId="168" priority="305" stopIfTrue="1" operator="lessThan">
      <formula>0.01</formula>
    </cfRule>
    <cfRule type="cellIs" dxfId="167" priority="306" stopIfTrue="1" operator="lessThan">
      <formula>0.1</formula>
    </cfRule>
    <cfRule type="cellIs" dxfId="166" priority="307" operator="lessThan">
      <formula>10</formula>
    </cfRule>
  </conditionalFormatting>
  <conditionalFormatting sqref="G34">
    <cfRule type="cellIs" dxfId="165" priority="283" stopIfTrue="1" operator="lessThan">
      <formula>0.001</formula>
    </cfRule>
    <cfRule type="cellIs" dxfId="164" priority="284" stopIfTrue="1" operator="lessThan">
      <formula>0.01</formula>
    </cfRule>
    <cfRule type="cellIs" dxfId="163" priority="285" stopIfTrue="1" operator="lessThan">
      <formula>0.1</formula>
    </cfRule>
    <cfRule type="cellIs" dxfId="162" priority="286" operator="lessThan">
      <formula>10</formula>
    </cfRule>
  </conditionalFormatting>
  <conditionalFormatting sqref="M28">
    <cfRule type="cellIs" dxfId="161" priority="243" stopIfTrue="1" operator="lessThan">
      <formula>0.001</formula>
    </cfRule>
    <cfRule type="cellIs" dxfId="160" priority="244" stopIfTrue="1" operator="lessThan">
      <formula>0.01</formula>
    </cfRule>
    <cfRule type="cellIs" dxfId="159" priority="245" stopIfTrue="1" operator="lessThan">
      <formula>0.1</formula>
    </cfRule>
    <cfRule type="cellIs" dxfId="158" priority="246" stopIfTrue="1" operator="lessThan">
      <formula>1</formula>
    </cfRule>
    <cfRule type="cellIs" dxfId="157" priority="247" operator="lessThan">
      <formula>10</formula>
    </cfRule>
  </conditionalFormatting>
  <conditionalFormatting sqref="E34:F34">
    <cfRule type="cellIs" dxfId="156" priority="301" stopIfTrue="1" operator="lessThan">
      <formula>0.1</formula>
    </cfRule>
    <cfRule type="cellIs" dxfId="155" priority="302" stopIfTrue="1" operator="lessThan">
      <formula>1</formula>
    </cfRule>
    <cfRule type="cellIs" dxfId="154" priority="303" operator="lessThan">
      <formula>10</formula>
    </cfRule>
  </conditionalFormatting>
  <conditionalFormatting sqref="H34 J34">
    <cfRule type="cellIs" dxfId="153" priority="294" stopIfTrue="1" operator="between">
      <formula>0.001</formula>
      <formula>-0.001</formula>
    </cfRule>
    <cfRule type="cellIs" dxfId="152" priority="295" stopIfTrue="1" operator="between">
      <formula>0.01</formula>
      <formula>-0.01</formula>
    </cfRule>
    <cfRule type="cellIs" dxfId="151" priority="296" stopIfTrue="1" operator="between">
      <formula>0.1</formula>
      <formula>-0.1</formula>
    </cfRule>
    <cfRule type="cellIs" dxfId="150" priority="297" stopIfTrue="1" operator="between">
      <formula>1</formula>
      <formula>-1</formula>
    </cfRule>
    <cfRule type="cellIs" dxfId="149" priority="298" stopIfTrue="1" operator="between">
      <formula>10</formula>
      <formula>-10</formula>
    </cfRule>
    <cfRule type="cellIs" dxfId="148" priority="299" stopIfTrue="1" operator="between">
      <formula>100</formula>
      <formula>-100</formula>
    </cfRule>
    <cfRule type="cellIs" dxfId="147" priority="300" operator="between">
      <formula>1000</formula>
      <formula>-1000</formula>
    </cfRule>
  </conditionalFormatting>
  <conditionalFormatting sqref="I34 K34">
    <cfRule type="cellIs" dxfId="146" priority="289" stopIfTrue="1" operator="lessThan">
      <formula>0.001</formula>
    </cfRule>
    <cfRule type="cellIs" dxfId="145" priority="290" stopIfTrue="1" operator="lessThan">
      <formula>0.01</formula>
    </cfRule>
    <cfRule type="cellIs" dxfId="144" priority="291" stopIfTrue="1" operator="lessThan">
      <formula>0.1</formula>
    </cfRule>
    <cfRule type="cellIs" dxfId="143" priority="292" stopIfTrue="1" operator="lessThan">
      <formula>1</formula>
    </cfRule>
    <cfRule type="cellIs" dxfId="142" priority="293" operator="lessThan">
      <formula>10</formula>
    </cfRule>
  </conditionalFormatting>
  <conditionalFormatting sqref="L34">
    <cfRule type="cellIs" dxfId="141" priority="287" stopIfTrue="1" operator="lessThan">
      <formula>1</formula>
    </cfRule>
    <cfRule type="cellIs" dxfId="140" priority="288" operator="lessThan">
      <formula>10</formula>
    </cfRule>
  </conditionalFormatting>
  <conditionalFormatting sqref="L27">
    <cfRule type="cellIs" dxfId="139" priority="276" stopIfTrue="1" operator="between">
      <formula>0.001</formula>
      <formula>-0.001</formula>
    </cfRule>
    <cfRule type="cellIs" dxfId="138" priority="277" stopIfTrue="1" operator="between">
      <formula>0.01</formula>
      <formula>-0.01</formula>
    </cfRule>
    <cfRule type="cellIs" dxfId="137" priority="278" stopIfTrue="1" operator="between">
      <formula>0.1</formula>
      <formula>-0.1</formula>
    </cfRule>
    <cfRule type="cellIs" dxfId="136" priority="279" stopIfTrue="1" operator="between">
      <formula>1</formula>
      <formula>-1</formula>
    </cfRule>
    <cfRule type="cellIs" dxfId="135" priority="280" stopIfTrue="1" operator="between">
      <formula>10</formula>
      <formula>-10</formula>
    </cfRule>
    <cfRule type="cellIs" dxfId="134" priority="281" stopIfTrue="1" operator="between">
      <formula>100</formula>
      <formula>-100</formula>
    </cfRule>
    <cfRule type="cellIs" dxfId="133" priority="282" operator="between">
      <formula>1000</formula>
      <formula>-1000</formula>
    </cfRule>
  </conditionalFormatting>
  <conditionalFormatting sqref="M27">
    <cfRule type="cellIs" dxfId="132" priority="271" stopIfTrue="1" operator="lessThan">
      <formula>0.001</formula>
    </cfRule>
    <cfRule type="cellIs" dxfId="131" priority="272" stopIfTrue="1" operator="lessThan">
      <formula>0.01</formula>
    </cfRule>
    <cfRule type="cellIs" dxfId="130" priority="273" stopIfTrue="1" operator="lessThan">
      <formula>0.1</formula>
    </cfRule>
    <cfRule type="cellIs" dxfId="129" priority="274" stopIfTrue="1" operator="lessThan">
      <formula>1</formula>
    </cfRule>
    <cfRule type="cellIs" dxfId="128" priority="275" operator="lessThan">
      <formula>10</formula>
    </cfRule>
  </conditionalFormatting>
  <conditionalFormatting sqref="L28">
    <cfRule type="cellIs" dxfId="127" priority="253" stopIfTrue="1" operator="between">
      <formula>0.001</formula>
      <formula>-0.001</formula>
    </cfRule>
    <cfRule type="cellIs" dxfId="126" priority="254" stopIfTrue="1" operator="between">
      <formula>0.01</formula>
      <formula>-0.01</formula>
    </cfRule>
    <cfRule type="cellIs" dxfId="125" priority="255" stopIfTrue="1" operator="between">
      <formula>0.1</formula>
      <formula>-0.1</formula>
    </cfRule>
    <cfRule type="cellIs" dxfId="124" priority="256" stopIfTrue="1" operator="between">
      <formula>1</formula>
      <formula>-1</formula>
    </cfRule>
    <cfRule type="cellIs" dxfId="123" priority="257" stopIfTrue="1" operator="between">
      <formula>10</formula>
      <formula>-10</formula>
    </cfRule>
    <cfRule type="cellIs" dxfId="122" priority="258" stopIfTrue="1" operator="between">
      <formula>100</formula>
      <formula>-100</formula>
    </cfRule>
    <cfRule type="cellIs" dxfId="121" priority="259" operator="between">
      <formula>1000</formula>
      <formula>-1000</formula>
    </cfRule>
  </conditionalFormatting>
  <conditionalFormatting sqref="I33 K33">
    <cfRule type="cellIs" dxfId="120" priority="133" stopIfTrue="1" operator="lessThan">
      <formula>0.001</formula>
    </cfRule>
    <cfRule type="cellIs" dxfId="119" priority="134" stopIfTrue="1" operator="lessThan">
      <formula>0.01</formula>
    </cfRule>
    <cfRule type="cellIs" dxfId="118" priority="135" stopIfTrue="1" operator="lessThan">
      <formula>0.1</formula>
    </cfRule>
    <cfRule type="cellIs" dxfId="117" priority="136" stopIfTrue="1" operator="lessThan">
      <formula>1</formula>
    </cfRule>
    <cfRule type="cellIs" dxfId="116" priority="137" operator="lessThan">
      <formula>10</formula>
    </cfRule>
  </conditionalFormatting>
  <conditionalFormatting sqref="H19">
    <cfRule type="cellIs" dxfId="115" priority="236" stopIfTrue="1" operator="lessThan">
      <formula>0.001</formula>
    </cfRule>
    <cfRule type="cellIs" dxfId="114" priority="237" stopIfTrue="1" operator="lessThan">
      <formula>0.01</formula>
    </cfRule>
    <cfRule type="cellIs" dxfId="113" priority="238" stopIfTrue="1" operator="lessThan">
      <formula>0.1</formula>
    </cfRule>
    <cfRule type="cellIs" dxfId="112" priority="241" stopIfTrue="1" operator="lessThan">
      <formula>1</formula>
    </cfRule>
    <cfRule type="cellIs" dxfId="111" priority="242" operator="lessThan">
      <formula>10</formula>
    </cfRule>
  </conditionalFormatting>
  <conditionalFormatting sqref="I19 K19 M19">
    <cfRule type="cellIs" dxfId="110" priority="231" stopIfTrue="1" operator="between">
      <formula>0.01</formula>
      <formula>-0.01</formula>
    </cfRule>
    <cfRule type="cellIs" dxfId="109" priority="232" stopIfTrue="1" operator="between">
      <formula>0.1</formula>
      <formula>-0.1</formula>
    </cfRule>
    <cfRule type="cellIs" dxfId="108" priority="233" stopIfTrue="1" operator="between">
      <formula>1</formula>
      <formula>-1</formula>
    </cfRule>
    <cfRule type="cellIs" dxfId="107" priority="234" stopIfTrue="1" operator="between">
      <formula>10</formula>
      <formula>-10</formula>
    </cfRule>
    <cfRule type="cellIs" dxfId="106" priority="235" operator="between">
      <formula>100</formula>
      <formula>-100</formula>
    </cfRule>
  </conditionalFormatting>
  <conditionalFormatting sqref="E19:F19">
    <cfRule type="cellIs" dxfId="105" priority="228" stopIfTrue="1" operator="lessThan">
      <formula>0.1</formula>
    </cfRule>
    <cfRule type="cellIs" dxfId="104" priority="229" stopIfTrue="1" operator="lessThan">
      <formula>1</formula>
    </cfRule>
    <cfRule type="cellIs" dxfId="103" priority="230" operator="lessThan">
      <formula>10</formula>
    </cfRule>
  </conditionalFormatting>
  <conditionalFormatting sqref="G19">
    <cfRule type="cellIs" dxfId="102" priority="224" stopIfTrue="1" operator="lessThan">
      <formula>0.001</formula>
    </cfRule>
    <cfRule type="cellIs" dxfId="101" priority="225" stopIfTrue="1" operator="lessThan">
      <formula>0.01</formula>
    </cfRule>
    <cfRule type="cellIs" dxfId="100" priority="226" stopIfTrue="1" operator="lessThan">
      <formula>0.1</formula>
    </cfRule>
    <cfRule type="cellIs" dxfId="99" priority="227" operator="lessThan">
      <formula>10</formula>
    </cfRule>
  </conditionalFormatting>
  <conditionalFormatting sqref="J19 L19 N19">
    <cfRule type="cellIs" dxfId="98" priority="219" stopIfTrue="1" operator="lessThan">
      <formula>0.001</formula>
    </cfRule>
    <cfRule type="cellIs" dxfId="97" priority="220" stopIfTrue="1" operator="lessThan">
      <formula>0.01</formula>
    </cfRule>
    <cfRule type="cellIs" dxfId="96" priority="221" stopIfTrue="1" operator="lessThan">
      <formula>0.1</formula>
    </cfRule>
    <cfRule type="cellIs" dxfId="95" priority="222" stopIfTrue="1" operator="lessThan">
      <formula>1</formula>
    </cfRule>
    <cfRule type="cellIs" dxfId="94" priority="223" operator="lessThan">
      <formula>10</formula>
    </cfRule>
  </conditionalFormatting>
  <conditionalFormatting sqref="O19">
    <cfRule type="cellIs" dxfId="93" priority="217" stopIfTrue="1" operator="lessThan">
      <formula>1</formula>
    </cfRule>
    <cfRule type="cellIs" dxfId="92" priority="218" operator="lessThan">
      <formula>10</formula>
    </cfRule>
  </conditionalFormatting>
  <conditionalFormatting sqref="P19 R19 T19">
    <cfRule type="cellIs" dxfId="91" priority="211" stopIfTrue="1" operator="between">
      <formula>0.1</formula>
      <formula>-0.1</formula>
    </cfRule>
    <cfRule type="cellIs" dxfId="90" priority="212" stopIfTrue="1" operator="between">
      <formula>1</formula>
      <formula>-1</formula>
    </cfRule>
    <cfRule type="cellIs" dxfId="89" priority="216" stopIfTrue="1" operator="between">
      <formula>10</formula>
      <formula>-10</formula>
    </cfRule>
    <cfRule type="cellIs" dxfId="88" priority="239" stopIfTrue="1" operator="between">
      <formula>100</formula>
      <formula>-100</formula>
    </cfRule>
    <cfRule type="cellIs" dxfId="87" priority="240" operator="between">
      <formula>1000</formula>
      <formula>-1000</formula>
    </cfRule>
  </conditionalFormatting>
  <conditionalFormatting sqref="Q19">
    <cfRule type="expression" dxfId="86" priority="209" stopIfTrue="1">
      <formula>AND(P19&lt;0.1,P19&gt;-0.1)</formula>
    </cfRule>
    <cfRule type="expression" dxfId="85" priority="210" stopIfTrue="1">
      <formula>AND(P19&gt;-1,P19&lt;1)</formula>
    </cfRule>
    <cfRule type="expression" dxfId="84" priority="213" stopIfTrue="1">
      <formula>AND(P19&gt;-10,P19&lt;10)</formula>
    </cfRule>
    <cfRule type="expression" dxfId="83" priority="214" stopIfTrue="1">
      <formula>AND(P19&gt;-100,P19&lt;100)</formula>
    </cfRule>
    <cfRule type="expression" dxfId="82" priority="215">
      <formula>AND(P19&gt;-1000,P19&lt;1000)</formula>
    </cfRule>
  </conditionalFormatting>
  <conditionalFormatting sqref="S19">
    <cfRule type="expression" dxfId="81" priority="204" stopIfTrue="1">
      <formula>AND(R19&lt;0.1,R19&gt;-0.1)</formula>
    </cfRule>
    <cfRule type="expression" dxfId="80" priority="205" stopIfTrue="1">
      <formula>AND(R19&gt;-1,R19&lt;1)</formula>
    </cfRule>
    <cfRule type="expression" dxfId="79" priority="206" stopIfTrue="1">
      <formula>AND(R19&gt;-10,R19&lt;10)</formula>
    </cfRule>
    <cfRule type="expression" dxfId="78" priority="207" stopIfTrue="1">
      <formula>AND(R19&gt;-100,R19&lt;100)</formula>
    </cfRule>
    <cfRule type="expression" dxfId="77" priority="208">
      <formula>AND(R19&gt;-1000,R19&lt;1000)</formula>
    </cfRule>
  </conditionalFormatting>
  <conditionalFormatting sqref="U19">
    <cfRule type="expression" dxfId="76" priority="199" stopIfTrue="1">
      <formula>AND(T19&lt;0.1,T19&gt;-0.1)</formula>
    </cfRule>
    <cfRule type="expression" dxfId="75" priority="200" stopIfTrue="1">
      <formula>AND(T19&gt;-1,T19&lt;1)</formula>
    </cfRule>
    <cfRule type="expression" dxfId="74" priority="201" stopIfTrue="1">
      <formula>AND(T19&gt;-10,T19&lt;10)</formula>
    </cfRule>
    <cfRule type="expression" dxfId="73" priority="202" stopIfTrue="1">
      <formula>AND(T19&gt;-100,T19&lt;100)</formula>
    </cfRule>
    <cfRule type="expression" dxfId="72" priority="203">
      <formula>AND(T19&gt;-1000,T19&lt;1000)</formula>
    </cfRule>
  </conditionalFormatting>
  <conditionalFormatting sqref="J26">
    <cfRule type="cellIs" dxfId="71" priority="182" stopIfTrue="1" operator="lessThan">
      <formula>0.01</formula>
    </cfRule>
    <cfRule type="cellIs" dxfId="70" priority="183" stopIfTrue="1" operator="lessThan">
      <formula>0.1</formula>
    </cfRule>
    <cfRule type="cellIs" dxfId="69" priority="184" stopIfTrue="1" operator="lessThan">
      <formula>1</formula>
    </cfRule>
    <cfRule type="cellIs" dxfId="68" priority="185" stopIfTrue="1" operator="lessThan">
      <formula>10</formula>
    </cfRule>
    <cfRule type="cellIs" dxfId="67" priority="186" stopIfTrue="1" operator="greaterThanOrEqual">
      <formula>10</formula>
    </cfRule>
  </conditionalFormatting>
  <conditionalFormatting sqref="E26:F26">
    <cfRule type="cellIs" dxfId="66" priority="179" stopIfTrue="1" operator="lessThan">
      <formula>0.1</formula>
    </cfRule>
    <cfRule type="cellIs" dxfId="65" priority="189" stopIfTrue="1" operator="lessThan">
      <formula>1</formula>
    </cfRule>
    <cfRule type="cellIs" dxfId="64" priority="190" operator="lessThan">
      <formula>10</formula>
    </cfRule>
  </conditionalFormatting>
  <conditionalFormatting sqref="G26">
    <cfRule type="cellIs" dxfId="63" priority="195" stopIfTrue="1" operator="lessThan">
      <formula>0.001</formula>
    </cfRule>
    <cfRule type="cellIs" dxfId="62" priority="196" stopIfTrue="1" operator="lessThan">
      <formula>0.01</formula>
    </cfRule>
    <cfRule type="cellIs" dxfId="61" priority="197" stopIfTrue="1" operator="lessThan">
      <formula>0.1</formula>
    </cfRule>
    <cfRule type="cellIs" dxfId="60" priority="198" operator="lessThan">
      <formula>10</formula>
    </cfRule>
  </conditionalFormatting>
  <conditionalFormatting sqref="H26 J26">
    <cfRule type="cellIs" dxfId="59" priority="180" stopIfTrue="1" operator="between">
      <formula>0.01</formula>
      <formula>-0.01</formula>
    </cfRule>
    <cfRule type="cellIs" dxfId="58" priority="181" stopIfTrue="1" operator="between">
      <formula>0.1</formula>
      <formula>-0.1</formula>
    </cfRule>
    <cfRule type="cellIs" dxfId="57" priority="191" stopIfTrue="1" operator="between">
      <formula>1</formula>
      <formula>-1</formula>
    </cfRule>
    <cfRule type="cellIs" dxfId="56" priority="192" stopIfTrue="1" operator="between">
      <formula>10</formula>
      <formula>-10</formula>
    </cfRule>
    <cfRule type="cellIs" dxfId="55" priority="193" stopIfTrue="1" operator="between">
      <formula>100</formula>
      <formula>-100</formula>
    </cfRule>
    <cfRule type="cellIs" dxfId="54" priority="194" operator="between">
      <formula>1000</formula>
      <formula>-1000</formula>
    </cfRule>
  </conditionalFormatting>
  <conditionalFormatting sqref="I26 K26">
    <cfRule type="cellIs" dxfId="53" priority="174" stopIfTrue="1" operator="lessThan">
      <formula>0.001</formula>
    </cfRule>
    <cfRule type="cellIs" dxfId="52" priority="175" stopIfTrue="1" operator="lessThan">
      <formula>0.01</formula>
    </cfRule>
    <cfRule type="cellIs" dxfId="51" priority="176" stopIfTrue="1" operator="lessThan">
      <formula>0.1</formula>
    </cfRule>
    <cfRule type="cellIs" dxfId="50" priority="177" stopIfTrue="1" operator="lessThan">
      <formula>1</formula>
    </cfRule>
    <cfRule type="cellIs" dxfId="49" priority="178" operator="lessThan">
      <formula>10</formula>
    </cfRule>
  </conditionalFormatting>
  <conditionalFormatting sqref="N26">
    <cfRule type="cellIs" dxfId="48" priority="187" stopIfTrue="1" operator="lessThan">
      <formula>1</formula>
    </cfRule>
    <cfRule type="cellIs" dxfId="47" priority="188" operator="lessThan">
      <formula>10</formula>
    </cfRule>
  </conditionalFormatting>
  <conditionalFormatting sqref="L26">
    <cfRule type="cellIs" dxfId="46" priority="165" stopIfTrue="1" operator="lessThan">
      <formula>0.01</formula>
    </cfRule>
    <cfRule type="cellIs" dxfId="45" priority="166" stopIfTrue="1" operator="lessThan">
      <formula>0.1</formula>
    </cfRule>
    <cfRule type="cellIs" dxfId="44" priority="167" stopIfTrue="1" operator="lessThan">
      <formula>1</formula>
    </cfRule>
    <cfRule type="cellIs" dxfId="43" priority="168" stopIfTrue="1" operator="lessThan">
      <formula>10</formula>
    </cfRule>
    <cfRule type="cellIs" dxfId="42" priority="169" stopIfTrue="1" operator="greaterThanOrEqual">
      <formula>10</formula>
    </cfRule>
  </conditionalFormatting>
  <conditionalFormatting sqref="L26">
    <cfRule type="cellIs" dxfId="41" priority="163" stopIfTrue="1" operator="between">
      <formula>0.01</formula>
      <formula>-0.01</formula>
    </cfRule>
    <cfRule type="cellIs" dxfId="40" priority="164" stopIfTrue="1" operator="between">
      <formula>0.1</formula>
      <formula>-0.1</formula>
    </cfRule>
    <cfRule type="cellIs" dxfId="39" priority="170" stopIfTrue="1" operator="between">
      <formula>1</formula>
      <formula>-1</formula>
    </cfRule>
    <cfRule type="cellIs" dxfId="38" priority="171" stopIfTrue="1" operator="between">
      <formula>10</formula>
      <formula>-10</formula>
    </cfRule>
    <cfRule type="cellIs" dxfId="37" priority="172" stopIfTrue="1" operator="between">
      <formula>100</formula>
      <formula>-100</formula>
    </cfRule>
    <cfRule type="cellIs" dxfId="36" priority="173" operator="between">
      <formula>1000</formula>
      <formula>-1000</formula>
    </cfRule>
  </conditionalFormatting>
  <conditionalFormatting sqref="M26">
    <cfRule type="cellIs" dxfId="35" priority="158" stopIfTrue="1" operator="lessThan">
      <formula>0.001</formula>
    </cfRule>
    <cfRule type="cellIs" dxfId="34" priority="159" stopIfTrue="1" operator="lessThan">
      <formula>0.01</formula>
    </cfRule>
    <cfRule type="cellIs" dxfId="33" priority="160" stopIfTrue="1" operator="lessThan">
      <formula>0.1</formula>
    </cfRule>
    <cfRule type="cellIs" dxfId="32" priority="161" stopIfTrue="1" operator="lessThan">
      <formula>1</formula>
    </cfRule>
    <cfRule type="cellIs" dxfId="31" priority="162" operator="lessThan">
      <formula>10</formula>
    </cfRule>
  </conditionalFormatting>
  <conditionalFormatting sqref="J33">
    <cfRule type="cellIs" dxfId="30" priority="141" stopIfTrue="1" operator="lessThan">
      <formula>0.01</formula>
    </cfRule>
    <cfRule type="cellIs" dxfId="29" priority="142" stopIfTrue="1" operator="lessThan">
      <formula>0.1</formula>
    </cfRule>
    <cfRule type="cellIs" dxfId="28" priority="143" stopIfTrue="1" operator="lessThan">
      <formula>1</formula>
    </cfRule>
    <cfRule type="cellIs" dxfId="27" priority="144" stopIfTrue="1" operator="lessThan">
      <formula>10</formula>
    </cfRule>
    <cfRule type="cellIs" dxfId="26" priority="145" stopIfTrue="1" operator="greaterThanOrEqual">
      <formula>10</formula>
    </cfRule>
  </conditionalFormatting>
  <conditionalFormatting sqref="E33:F33">
    <cfRule type="cellIs" dxfId="25" priority="138" stopIfTrue="1" operator="lessThan">
      <formula>0.1</formula>
    </cfRule>
    <cfRule type="cellIs" dxfId="24" priority="148" stopIfTrue="1" operator="lessThan">
      <formula>1</formula>
    </cfRule>
    <cfRule type="cellIs" dxfId="23" priority="149" operator="lessThan">
      <formula>10</formula>
    </cfRule>
  </conditionalFormatting>
  <conditionalFormatting sqref="G33">
    <cfRule type="cellIs" dxfId="22" priority="154" stopIfTrue="1" operator="lessThan">
      <formula>0.001</formula>
    </cfRule>
    <cfRule type="cellIs" dxfId="21" priority="155" stopIfTrue="1" operator="lessThan">
      <formula>0.01</formula>
    </cfRule>
    <cfRule type="cellIs" dxfId="20" priority="156" stopIfTrue="1" operator="lessThan">
      <formula>0.1</formula>
    </cfRule>
    <cfRule type="cellIs" dxfId="19" priority="157" operator="lessThan">
      <formula>10</formula>
    </cfRule>
  </conditionalFormatting>
  <conditionalFormatting sqref="H33 J33">
    <cfRule type="cellIs" dxfId="18" priority="139" stopIfTrue="1" operator="between">
      <formula>0.01</formula>
      <formula>-0.01</formula>
    </cfRule>
    <cfRule type="cellIs" dxfId="17" priority="140" stopIfTrue="1" operator="between">
      <formula>0.1</formula>
      <formula>-0.1</formula>
    </cfRule>
    <cfRule type="cellIs" dxfId="16" priority="150" stopIfTrue="1" operator="between">
      <formula>1</formula>
      <formula>-1</formula>
    </cfRule>
    <cfRule type="cellIs" dxfId="15" priority="151" stopIfTrue="1" operator="between">
      <formula>10</formula>
      <formula>-10</formula>
    </cfRule>
    <cfRule type="cellIs" dxfId="14" priority="152" stopIfTrue="1" operator="between">
      <formula>100</formula>
      <formula>-100</formula>
    </cfRule>
    <cfRule type="cellIs" dxfId="13" priority="153" operator="between">
      <formula>1000</formula>
      <formula>-1000</formula>
    </cfRule>
  </conditionalFormatting>
  <conditionalFormatting sqref="L33">
    <cfRule type="cellIs" dxfId="12" priority="146" stopIfTrue="1" operator="lessThan">
      <formula>1</formula>
    </cfRule>
    <cfRule type="cellIs" dxfId="11" priority="147" operator="lessThan">
      <formula>10</formula>
    </cfRule>
  </conditionalFormatting>
  <conditionalFormatting sqref="O6">
    <cfRule type="notContainsBlanks" dxfId="10" priority="70">
      <formula>LEN(TRIM(O6))&gt;0</formula>
    </cfRule>
  </conditionalFormatting>
  <conditionalFormatting sqref="O8">
    <cfRule type="notContainsBlanks" dxfId="9" priority="55">
      <formula>LEN(TRIM(O8))&gt;0</formula>
    </cfRule>
  </conditionalFormatting>
  <conditionalFormatting sqref="N11">
    <cfRule type="cellIs" dxfId="8" priority="46" operator="notBetween">
      <formula>$L$129+2*$L$130</formula>
      <formula>$L$129-2*$L$130</formula>
    </cfRule>
  </conditionalFormatting>
  <conditionalFormatting sqref="O11">
    <cfRule type="cellIs" dxfId="7" priority="47" operator="notBetween">
      <formula>$L$129+2*$L$130</formula>
      <formula>$L$129-2*$L$130</formula>
    </cfRule>
  </conditionalFormatting>
  <conditionalFormatting sqref="L9">
    <cfRule type="cellIs" dxfId="6" priority="35" operator="notBetween">
      <formula>$J$104+2*$J$105</formula>
      <formula>$J$104-2*$J$105</formula>
    </cfRule>
  </conditionalFormatting>
  <conditionalFormatting sqref="M9">
    <cfRule type="cellIs" dxfId="5" priority="36" operator="notBetween">
      <formula>$K$104+2*$K$105</formula>
      <formula>$K$104-2*$K$105</formula>
    </cfRule>
  </conditionalFormatting>
  <conditionalFormatting sqref="N9">
    <cfRule type="cellIs" dxfId="4" priority="31" operator="notBetween">
      <formula>$L$104+2*$L$105</formula>
      <formula>$L$104-2*$L$105</formula>
    </cfRule>
  </conditionalFormatting>
  <conditionalFormatting sqref="O9">
    <cfRule type="cellIs" dxfId="3" priority="32" operator="notBetween">
      <formula>$M$104+2*$M$105</formula>
      <formula>$M$104-2*$M$105</formula>
    </cfRule>
  </conditionalFormatting>
  <conditionalFormatting sqref="O7">
    <cfRule type="notContainsBlanks" dxfId="2" priority="7">
      <formula>LEN(TRIM(O7))&gt;0</formula>
    </cfRule>
  </conditionalFormatting>
  <conditionalFormatting sqref="O10">
    <cfRule type="notContainsBlanks" dxfId="1" priority="5">
      <formula>LEN(TRIM(O10))&gt;0</formula>
    </cfRule>
  </conditionalFormatting>
  <conditionalFormatting sqref="O3">
    <cfRule type="notContainsBlanks" dxfId="0" priority="1">
      <formula>LEN(TRIM(O3))&gt;0</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118</vt:i4>
      </vt:variant>
    </vt:vector>
  </HeadingPairs>
  <TitlesOfParts>
    <vt:vector size="125" baseType="lpstr">
      <vt:lpstr>Tab1</vt:lpstr>
      <vt:lpstr>calc</vt:lpstr>
      <vt:lpstr>Tab2</vt:lpstr>
      <vt:lpstr>r-in</vt:lpstr>
      <vt:lpstr>input</vt:lpstr>
      <vt:lpstr>MetaData</vt:lpstr>
      <vt:lpstr>hidden</vt:lpstr>
      <vt:lpstr>_10.08B</vt:lpstr>
      <vt:lpstr>_10B</vt:lpstr>
      <vt:lpstr>_10Babund</vt:lpstr>
      <vt:lpstr>_10Bback</vt:lpstr>
      <vt:lpstr>_10Bbul</vt:lpstr>
      <vt:lpstr>_10Bcorr</vt:lpstr>
      <vt:lpstr>_10Bmass</vt:lpstr>
      <vt:lpstr>_11B</vt:lpstr>
      <vt:lpstr>_11B_10B_corr</vt:lpstr>
      <vt:lpstr>_11B_10B_corr2</vt:lpstr>
      <vt:lpstr>_11B_b</vt:lpstr>
      <vt:lpstr>_11Babund</vt:lpstr>
      <vt:lpstr>_11Bback</vt:lpstr>
      <vt:lpstr>_11Bbul</vt:lpstr>
      <vt:lpstr>_11Bmass</vt:lpstr>
      <vt:lpstr>_9.98B</vt:lpstr>
      <vt:lpstr>AnalysisName</vt:lpstr>
      <vt:lpstr>AnalysisNumb</vt:lpstr>
      <vt:lpstr>CalcBratio</vt:lpstr>
      <vt:lpstr>CalcRaw</vt:lpstr>
      <vt:lpstr>CalcStats</vt:lpstr>
      <vt:lpstr>ClcProcArea</vt:lpstr>
      <vt:lpstr>ClcSeconds</vt:lpstr>
      <vt:lpstr>DeadTime</vt:lpstr>
      <vt:lpstr>ExpanSig1</vt:lpstr>
      <vt:lpstr>ExpanSig2</vt:lpstr>
      <vt:lpstr>FirstLine</vt:lpstr>
      <vt:lpstr>FirstRowInput</vt:lpstr>
      <vt:lpstr>HiddAnch</vt:lpstr>
      <vt:lpstr>HidData</vt:lpstr>
      <vt:lpstr>HidDataRaw</vt:lpstr>
      <vt:lpstr>HidDelLineFrst</vt:lpstr>
      <vt:lpstr>HidDelLineLast</vt:lpstr>
      <vt:lpstr>HiddStd</vt:lpstr>
      <vt:lpstr>HidForceProces</vt:lpstr>
      <vt:lpstr>HidFracCte68</vt:lpstr>
      <vt:lpstr>HidFracCte82</vt:lpstr>
      <vt:lpstr>HidFracMode68</vt:lpstr>
      <vt:lpstr>HidFracMode82</vt:lpstr>
      <vt:lpstr>HidNames</vt:lpstr>
      <vt:lpstr>HidNocPb</vt:lpstr>
      <vt:lpstr>HidOutlierCell</vt:lpstr>
      <vt:lpstr>HidOutlierNumb</vt:lpstr>
      <vt:lpstr>HidPrep</vt:lpstr>
      <vt:lpstr>HidPrimCte</vt:lpstr>
      <vt:lpstr>HidProc</vt:lpstr>
      <vt:lpstr>HidReProc</vt:lpstr>
      <vt:lpstr>HidShowUser</vt:lpstr>
      <vt:lpstr>HidTb2StatT8</vt:lpstr>
      <vt:lpstr>HidTb2StatTw</vt:lpstr>
      <vt:lpstr>HidTb2StatWh</vt:lpstr>
      <vt:lpstr>HidTb2StdsT8</vt:lpstr>
      <vt:lpstr>HidTb2StdsTw</vt:lpstr>
      <vt:lpstr>HidTb2StdsWh</vt:lpstr>
      <vt:lpstr>HidTb2TitleT8</vt:lpstr>
      <vt:lpstr>HidTb2TitleTw</vt:lpstr>
      <vt:lpstr>HidTb2TitleWh</vt:lpstr>
      <vt:lpstr>HidTb2UnknT8</vt:lpstr>
      <vt:lpstr>HidTb2UnknTw</vt:lpstr>
      <vt:lpstr>HidTb2UnknWh</vt:lpstr>
      <vt:lpstr>HidViewResults</vt:lpstr>
      <vt:lpstr>HidVisuCell</vt:lpstr>
      <vt:lpstr>Integration</vt:lpstr>
      <vt:lpstr>LimitBackB10</vt:lpstr>
      <vt:lpstr>LimitBackB11</vt:lpstr>
      <vt:lpstr>LimitSignB10</vt:lpstr>
      <vt:lpstr>LimitSignB11</vt:lpstr>
      <vt:lpstr>LimitSignB11b</vt:lpstr>
      <vt:lpstr>LinePosition</vt:lpstr>
      <vt:lpstr>LogRat</vt:lpstr>
      <vt:lpstr>Mass_Left</vt:lpstr>
      <vt:lpstr>'Tab2'!Print_Area</vt:lpstr>
      <vt:lpstr>RawEntrie</vt:lpstr>
      <vt:lpstr>RInResults</vt:lpstr>
      <vt:lpstr>RInRM0</vt:lpstr>
      <vt:lpstr>RInRM1</vt:lpstr>
      <vt:lpstr>RInRM2</vt:lpstr>
      <vt:lpstr>RInRM3</vt:lpstr>
      <vt:lpstr>RInRM4</vt:lpstr>
      <vt:lpstr>RInRM5</vt:lpstr>
      <vt:lpstr>RInRM6</vt:lpstr>
      <vt:lpstr>Tb1Bck</vt:lpstr>
      <vt:lpstr>Tb1Comment</vt:lpstr>
      <vt:lpstr>Tb1CtStat</vt:lpstr>
      <vt:lpstr>Tb1ExSct</vt:lpstr>
      <vt:lpstr>Tb1ForceProc</vt:lpstr>
      <vt:lpstr>Tb1FracEqt</vt:lpstr>
      <vt:lpstr>Tb1Hz</vt:lpstr>
      <vt:lpstr>Tb1MassBias</vt:lpstr>
      <vt:lpstr>Tb1Order</vt:lpstr>
      <vt:lpstr>Tb1PolyOrder</vt:lpstr>
      <vt:lpstr>Tb1Prim11B10B</vt:lpstr>
      <vt:lpstr>Tb1PrimBppm</vt:lpstr>
      <vt:lpstr>Tb1PropDecayErr</vt:lpstr>
      <vt:lpstr>Tb1RM0</vt:lpstr>
      <vt:lpstr>Tb1RM0stats</vt:lpstr>
      <vt:lpstr>Tb1RM1</vt:lpstr>
      <vt:lpstr>Tb1RM1stats</vt:lpstr>
      <vt:lpstr>Tb1RM2</vt:lpstr>
      <vt:lpstr>Tb1RM2stats</vt:lpstr>
      <vt:lpstr>Tb1RM3</vt:lpstr>
      <vt:lpstr>Tb1RM3stats</vt:lpstr>
      <vt:lpstr>Tb1RM4</vt:lpstr>
      <vt:lpstr>Tb1RM4stats</vt:lpstr>
      <vt:lpstr>Tb1RM5</vt:lpstr>
      <vt:lpstr>Tb1RM5stats</vt:lpstr>
      <vt:lpstr>Tb1RM6</vt:lpstr>
      <vt:lpstr>Tb1SpotSize</vt:lpstr>
      <vt:lpstr>Tb2Averages</vt:lpstr>
      <vt:lpstr>Tb2RM0</vt:lpstr>
      <vt:lpstr>Tb2RM0stats</vt:lpstr>
      <vt:lpstr>Tb2RM1</vt:lpstr>
      <vt:lpstr>Tb2RM2</vt:lpstr>
      <vt:lpstr>Tb2RM3</vt:lpstr>
      <vt:lpstr>Tb2RM4</vt:lpstr>
      <vt:lpstr>Tb2RM5</vt:lpstr>
      <vt:lpstr>Tb2RM6</vt:lpstr>
      <vt:lpstr>Tb2Title</vt:lpstr>
    </vt:vector>
  </TitlesOfParts>
  <Manager>FIERCE</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Albert;Axel Gerdes</dc:creator>
  <cp:lastModifiedBy>Microsoft Office User</cp:lastModifiedBy>
  <cp:lastPrinted>2022-01-06T10:51:48Z</cp:lastPrinted>
  <dcterms:created xsi:type="dcterms:W3CDTF">2019-01-21T17:30:13Z</dcterms:created>
  <dcterms:modified xsi:type="dcterms:W3CDTF">2023-01-10T16:58:10Z</dcterms:modified>
</cp:coreProperties>
</file>